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Revenue Streams" sheetId="2" state="visible" r:id="rId4"/>
    <sheet name="Program Costs" sheetId="3" state="visible" r:id="rId5"/>
    <sheet name="Ten-Year Window" sheetId="4" state="visible" r:id="rId6"/>
    <sheet name="Low-Base-High" sheetId="5" state="visible" r:id="rId7"/>
    <sheet name="Source Register" sheetId="6" state="visible" r:id="rId8"/>
    <sheet name="Version History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<sst xmlns="http://schemas.openxmlformats.org/spreadsheetml/2006/main" count="372" uniqueCount="180">
  <si>
    <t xml:space="preserve">NSRA Scorer Workbook — Assumptions</t>
  </si>
  <si>
    <t xml:space="preserve">Methodology version v2026.1  ·  last updated 2026-07-11  ·  blue = input cell</t>
  </si>
  <si>
    <t xml:space="preserve">Revenue growth rate (annual)</t>
  </si>
  <si>
    <t xml:space="preserve">Program outlay, Year 1 ($B)</t>
  </si>
  <si>
    <t xml:space="preserve">Program outlay growth (annual)</t>
  </si>
  <si>
    <t xml:space="preserve">Program-linked cost growth (annual)</t>
  </si>
  <si>
    <t xml:space="preserve">Enforcement realization ramp by year (blue = input)</t>
  </si>
  <si>
    <t xml:space="preserve">Year</t>
  </si>
  <si>
    <t xml:space="preserve">Realization</t>
  </si>
  <si>
    <t xml:space="preserve">Scenario factor (applied to totals)</t>
  </si>
  <si>
    <t xml:space="preserve">Low</t>
  </si>
  <si>
    <t xml:space="preserve">Base</t>
  </si>
  <si>
    <t xml:space="preserve">High</t>
  </si>
  <si>
    <t xml:space="preserve">Stream ID</t>
  </si>
  <si>
    <t xml:space="preserve">Stream</t>
  </si>
  <si>
    <t xml:space="preserve">Statutory section</t>
  </si>
  <si>
    <t xml:space="preserve">Baseline source</t>
  </si>
  <si>
    <t xml:space="preserve">Confidence</t>
  </si>
  <si>
    <t xml:space="preserve">Behavioral</t>
  </si>
  <si>
    <t xml:space="preserve">Baseline Y1 ($B)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</si>
  <si>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</si>
  <si>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</si>
  <si>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</si>
  <si>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</si>
  <si>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</si>
  <si>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</si>
  <si>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</si>
  <si>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Year 8</t>
  </si>
  <si>
    <t xml:space="preserve">Year 9</t>
  </si>
  <si>
    <t xml:space="preserve">Year 10</t>
  </si>
  <si>
    <t xml:space="preserve">REV-01</t>
  </si>
  <si>
    <t xml:space="preserve">SS payroll cap elimination</t>
  </si>
  <si>
    <t xml:space="preserve">Sec. 2408</t>
  </si>
  <si>
    <t xml:space="preserve">SSA / CBO</t>
  </si>
  <si>
    <t xml:space="preserve">No</t>
  </si>
  <si>
    <t xml:space="preserve">REV-02</t>
  </si>
  <si>
    <t xml:space="preserve">Corporate rate restoration 21%-&gt;28%</t>
  </si>
  <si>
    <t xml:space="preserve">Sec. 2409</t>
  </si>
  <si>
    <t xml:space="preserve">JCT</t>
  </si>
  <si>
    <t xml:space="preserve">REV-03</t>
  </si>
  <si>
    <t xml:space="preserve">IRS enforcement fund (net)</t>
  </si>
  <si>
    <t xml:space="preserve">Sec. 2406</t>
  </si>
  <si>
    <t xml:space="preserve">CBO / Treasury</t>
  </si>
  <si>
    <t xml:space="preserve">Moderate</t>
  </si>
  <si>
    <t xml:space="preserve">REV-04</t>
  </si>
  <si>
    <t xml:space="preserve">Carbon dividend fee</t>
  </si>
  <si>
    <t xml:space="preserve">Sec. 2410</t>
  </si>
  <si>
    <t xml:space="preserve">CBO / Treasury / EIA</t>
  </si>
  <si>
    <t xml:space="preserve">Yes</t>
  </si>
  <si>
    <t xml:space="preserve">REV-05</t>
  </si>
  <si>
    <t xml:space="preserve">OECD Pillar Two</t>
  </si>
  <si>
    <t xml:space="preserve">Sec. 2411</t>
  </si>
  <si>
    <t xml:space="preserve">OECD / JCT</t>
  </si>
  <si>
    <t xml:space="preserve">REV-06</t>
  </si>
  <si>
    <t xml:space="preserve">Financial transaction tax 0.1%</t>
  </si>
  <si>
    <t xml:space="preserve">Sec. 2413</t>
  </si>
  <si>
    <t xml:space="preserve">JCT / CBO</t>
  </si>
  <si>
    <t xml:space="preserve">REV-07</t>
  </si>
  <si>
    <t xml:space="preserve">Step-up basis reform &gt;$5M</t>
  </si>
  <si>
    <t xml:space="preserve">Sec. 2412</t>
  </si>
  <si>
    <t xml:space="preserve">REV-08</t>
  </si>
  <si>
    <t xml:space="preserve">NIMA 0.18% domestic gross &gt;$100M</t>
  </si>
  <si>
    <t xml:space="preserve">Sec. 2404</t>
  </si>
  <si>
    <t xml:space="preserve">BEA</t>
  </si>
  <si>
    <t xml:space="preserve">Preliminary</t>
  </si>
  <si>
    <t xml:space="preserve">REV-09</t>
  </si>
  <si>
    <t xml:space="preserve">Federal land + mineral royalty</t>
  </si>
  <si>
    <t xml:space="preserve">Sec. 2414</t>
  </si>
  <si>
    <t xml:space="preserve">Interior / GAO / CBO</t>
  </si>
  <si>
    <t xml:space="preserve">REV-10</t>
  </si>
  <si>
    <t xml:space="preserve">Financial-sector excess-profits</t>
  </si>
  <si>
    <t xml:space="preserve">Sec. 2415</t>
  </si>
  <si>
    <t xml:space="preserve">FDIC / BEA</t>
  </si>
  <si>
    <t xml:space="preserve">REV-11</t>
  </si>
  <si>
    <t xml:space="preserve">FDVM Medicare fraud recovery</t>
  </si>
  <si>
    <t xml:space="preserve">Sec. 101/103 (Title I)</t>
  </si>
  <si>
    <t xml:space="preserve">HHS-OIG / GAO / CBO</t>
  </si>
  <si>
    <t xml:space="preserve">REV-12</t>
  </si>
  <si>
    <t xml:space="preserve">LBO interest cap (30% EBITDA)</t>
  </si>
  <si>
    <t xml:space="preserve">Sec. 2403</t>
  </si>
  <si>
    <t xml:space="preserve">REV-13</t>
  </si>
  <si>
    <t xml:space="preserve">Carried interest -&gt; ordinary income</t>
  </si>
  <si>
    <t xml:space="preserve">Sec. 2402</t>
  </si>
  <si>
    <t xml:space="preserve">REV-14</t>
  </si>
  <si>
    <t xml:space="preserve">FTA 0.02% institutional trades &gt;$1M</t>
  </si>
  <si>
    <t xml:space="preserve">Sec. 2405</t>
  </si>
  <si>
    <t xml:space="preserve">REV-15</t>
  </si>
  <si>
    <t xml:space="preserve">SNAP retailer fraud recovery</t>
  </si>
  <si>
    <t xml:space="preserve">USDA-OIG / GAO</t>
  </si>
  <si>
    <t xml:space="preserve">Total gross revenue</t>
  </si>
  <si>
    <t xml:space="preserve">Cost ID</t>
  </si>
  <si>
    <t xml:space="preserve">Program-linked cost</t>
  </si>
  <si>
    <t xml:space="preserve">Statutory ref</t>
  </si>
  <si>
    <t xml:space="preserve">COST-01</t>
  </si>
  <si>
    <t xml:space="preserve">Student-loan zero-interest conversion</t>
  </si>
  <si>
    <t xml:space="preserve">Title XV</t>
  </si>
  <si>
    <t xml:space="preserve">COST-02</t>
  </si>
  <si>
    <t xml:space="preserve">SPI wage-floor tax credit</t>
  </si>
  <si>
    <t xml:space="preserve">Sec. 2407</t>
  </si>
  <si>
    <t xml:space="preserve">Total program-linked costs</t>
  </si>
  <si>
    <t xml:space="preserve">Fiscal Year</t>
  </si>
  <si>
    <t xml:space="preserve">Gross revenue</t>
  </si>
  <si>
    <t xml:space="preserve">Program-linked costs</t>
  </si>
  <si>
    <t xml:space="preserve">Net revenue</t>
  </si>
  <si>
    <t xml:space="preserve">Program outlays</t>
  </si>
  <si>
    <t xml:space="preserve">Deficit reduction</t>
  </si>
  <si>
    <t xml:space="preserve">Cumulative deficit reduction</t>
  </si>
  <si>
    <t xml:space="preserve">10-yr total</t>
  </si>
  <si>
    <t xml:space="preserve">Scenario</t>
  </si>
  <si>
    <t xml:space="preserve">Factor</t>
  </si>
  <si>
    <t xml:space="preserve">10-yr net revenue</t>
  </si>
  <si>
    <t xml:space="preserve">10-yr deficit reduction</t>
  </si>
  <si>
    <t xml:space="preserve">Year-4 deficit reduction</t>
  </si>
  <si>
    <t xml:space="preserve">figure</t>
  </si>
  <si>
    <t xml:space="preserve">value</t>
  </si>
  <si>
    <t xml:space="preserve">unit</t>
  </si>
  <si>
    <t xml:space="preserve">baseline_source</t>
  </si>
  <si>
    <t xml:space="preserve">source_year</t>
  </si>
  <si>
    <t xml:space="preserve">confidence</t>
  </si>
  <si>
    <t xml:space="preserve">methodology_version</t>
  </si>
  <si>
    <t xml:space="preserve">last_updated</t>
  </si>
  <si>
    <t xml:space="preserve">Gross scored revenue (active streams)</t>
  </si>
  <si>
    <t xml:space="preserve">784.6</t>
  </si>
  <si>
    <t xml:space="preserve">billion USD/yr</t>
  </si>
  <si>
    <t xml:space="preserve">Sum of scored streams; CBO/JCT/OECD/BEA/Treasury baselines</t>
  </si>
  <si>
    <t xml:space="preserve">2025</t>
  </si>
  <si>
    <t xml:space="preserve">v2026.1</t>
  </si>
  <si>
    <t xml:space="preserve">2026-07-11</t>
  </si>
  <si>
    <t xml:space="preserve">Net Year-1 revenue (central)</t>
  </si>
  <si>
    <t xml:space="preserve">749</t>
  </si>
  <si>
    <t xml:space="preserve">Gross less program-linked costs and realization</t>
  </si>
  <si>
    <t xml:space="preserve">Annual deficit reduction (central)</t>
  </si>
  <si>
    <t xml:space="preserve">554</t>
  </si>
  <si>
    <t xml:space="preserve">Net revenue less ~$196B revenue-funded outlays</t>
  </si>
  <si>
    <t xml:space="preserve">Balanced-budget year (central)</t>
  </si>
  <si>
    <t xml:space="preserve">4</t>
  </si>
  <si>
    <t xml:space="preserve">fiscal year</t>
  </si>
  <si>
    <t xml:space="preserve">NSRA fiscal model, low/base/high scenarios (range 3-5)</t>
  </si>
  <si>
    <t xml:space="preserve">Baseline federal deficit</t>
  </si>
  <si>
    <t xml:space="preserve">1900</t>
  </si>
  <si>
    <t xml:space="preserve">CBO Budget &amp; Economic Outlook 2026-2036</t>
  </si>
  <si>
    <t xml:space="preserve">2026</t>
  </si>
  <si>
    <t xml:space="preserve">Uninsured covered by BMP</t>
  </si>
  <si>
    <t xml:space="preserve">28</t>
  </si>
  <si>
    <t xml:space="preserve">million people</t>
  </si>
  <si>
    <t xml:space="preserve">Census ACS / KFF</t>
  </si>
  <si>
    <t xml:space="preserve">2024</t>
  </si>
  <si>
    <t xml:space="preserve">SNAP recipients</t>
  </si>
  <si>
    <t xml:space="preserve">42</t>
  </si>
  <si>
    <t xml:space="preserve">USDA FNS</t>
  </si>
  <si>
    <t xml:space="preserve">Veterans (enhanced VA + VESB)</t>
  </si>
  <si>
    <t xml:space="preserve">9</t>
  </si>
  <si>
    <t xml:space="preserve">VA / Census</t>
  </si>
  <si>
    <t xml:space="preserve">150</t>
  </si>
  <si>
    <t xml:space="preserve">Corporate rate restoration 21% to 28%</t>
  </si>
  <si>
    <t xml:space="preserve">110</t>
  </si>
  <si>
    <t xml:space="preserve">90</t>
  </si>
  <si>
    <t xml:space="preserve">85</t>
  </si>
  <si>
    <t xml:space="preserve">OECD Pillar Two implementation</t>
  </si>
  <si>
    <t xml:space="preserve">75</t>
  </si>
  <si>
    <t xml:space="preserve">50</t>
  </si>
  <si>
    <t xml:space="preserve">39.6</t>
  </si>
  <si>
    <t xml:space="preserve">Federal land + mineral royalty modernization</t>
  </si>
  <si>
    <t xml:space="preserve">30</t>
  </si>
  <si>
    <t xml:space="preserve">Financial-sector excess-profits assessment</t>
  </si>
  <si>
    <t xml:space="preserve">20</t>
  </si>
  <si>
    <t xml:space="preserve">18</t>
  </si>
  <si>
    <t xml:space="preserve">Carried interest to ordinary income</t>
  </si>
  <si>
    <t xml:space="preserve">14</t>
  </si>
  <si>
    <t xml:space="preserve">7</t>
  </si>
  <si>
    <t xml:space="preserve">1</t>
  </si>
  <si>
    <t xml:space="preserve">Student-loan zero-interest conversion (cost)</t>
  </si>
  <si>
    <t xml:space="preserve">-25</t>
  </si>
  <si>
    <t xml:space="preserve">CBO / Education</t>
  </si>
  <si>
    <t xml:space="preserve">SPI wage-floor tax credit (cost)</t>
  </si>
  <si>
    <t xml:space="preserve">-10</t>
  </si>
  <si>
    <t xml:space="preserve">Version</t>
  </si>
  <si>
    <t xml:space="preserve">Date</t>
  </si>
  <si>
    <t xml:space="preserve">Change</t>
  </si>
  <si>
    <t xml:space="preserve">Initial scorer workbook: streams, phase-in, 10-year window, low/base/high, canonical Sec. references.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</si>
</sst>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%"/>
    <numFmt numFmtId="166" formatCode="\$#,##0.0;&quot;($&quot;#,##0.0\);\-"/>
    <numFmt numFmtId="167" formatCode="0%"/>
    <numFmt numFmtId="168" formatCode="0.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3864"/>
      <name val="Arial"/>
      <family val="0"/>
      <charset val="1"/>
    </font>
    <font>
      <i val="true"/>
      <sz val="9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3C4"/>
        <bgColor rgb="FFFFFF99"/>
      </patternFill>
    </fill>
    <fill>
      <patternFill patternType="solid">
        <fgColor rgb="FF1F3864"/>
        <bgColor rgb="FF33333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4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1" min="2" style="0" width="8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 t="n">
        <v>0.02</v>
      </c>
    </row>
    <row r="5" customFormat="false" ht="15" hidden="false" customHeight="false" outlineLevel="0" collapsed="false">
      <c r="A5" s="3" t="s">
        <v>3</v>
      </c>
      <c r="B5" s="5" t="n">
        <v>195.6</v>
      </c>
    </row>
    <row r="6" customFormat="false" ht="15" hidden="false" customHeight="false" outlineLevel="0" collapsed="false">
      <c r="A6" s="3" t="s">
        <v>4</v>
      </c>
      <c r="B6" s="4" t="n">
        <v>0.015</v>
      </c>
    </row>
    <row r="7" customFormat="false" ht="15" hidden="false" customHeight="false" outlineLevel="0" collapsed="false">
      <c r="A7" s="3" t="s">
        <v>5</v>
      </c>
      <c r="B7" s="4" t="n">
        <v>0.02</v>
      </c>
    </row>
    <row r="9" customFormat="false" ht="15" hidden="false" customHeight="false" outlineLevel="0" collapsed="false">
      <c r="A9" s="6" t="s">
        <v>6</v>
      </c>
    </row>
    <row r="10" customFormat="false" ht="15" hidden="false" customHeight="false" outlineLevel="0" collapsed="false">
      <c r="A10" s="3" t="s">
        <v>7</v>
      </c>
      <c r="B10" s="3" t="n">
        <v>1</v>
      </c>
      <c r="C10" s="3" t="n">
        <v>2</v>
      </c>
      <c r="D10" s="3" t="n">
        <v>3</v>
      </c>
      <c r="E10" s="3" t="n">
        <v>4</v>
      </c>
      <c r="F10" s="3" t="n">
        <v>5</v>
      </c>
      <c r="G10" s="3" t="n">
        <v>6</v>
      </c>
      <c r="H10" s="3" t="n">
        <v>7</v>
      </c>
      <c r="I10" s="3" t="n">
        <v>8</v>
      </c>
      <c r="J10" s="3" t="n">
        <v>9</v>
      </c>
      <c r="K10" s="3" t="n">
        <v>10</v>
      </c>
    </row>
    <row r="11" customFormat="false" ht="15" hidden="false" customHeight="false" outlineLevel="0" collapsed="false">
      <c r="A11" s="3" t="s">
        <v>8</v>
      </c>
      <c r="B11" s="7" t="n">
        <v>0.86</v>
      </c>
      <c r="C11" s="7" t="n">
        <v>0.94</v>
      </c>
      <c r="D11" s="7" t="n">
        <v>0.98</v>
      </c>
      <c r="E11" s="7" t="n">
        <v>1</v>
      </c>
      <c r="F11" s="7" t="n">
        <v>1</v>
      </c>
      <c r="G11" s="7" t="n">
        <v>1</v>
      </c>
      <c r="H11" s="7" t="n">
        <v>1</v>
      </c>
      <c r="I11" s="7" t="n">
        <v>1</v>
      </c>
      <c r="J11" s="7" t="n">
        <v>1</v>
      </c>
      <c r="K11" s="7" t="n">
        <v>1</v>
      </c>
    </row>
    <row r="13" customFormat="false" ht="15" hidden="false" customHeight="false" outlineLevel="0" collapsed="false">
      <c r="A13" s="6" t="s">
        <v>9</v>
      </c>
    </row>
    <row r="14" customFormat="false" ht="15" hidden="false" customHeight="false" outlineLevel="0" collapsed="false">
      <c r="A14" s="3" t="s">
        <v>10</v>
      </c>
      <c r="B14" s="8" t="n">
        <v>0.88</v>
      </c>
    </row>
    <row r="15" customFormat="false" ht="15" hidden="false" customHeight="false" outlineLevel="0" collapsed="false">
      <c r="A15" s="3" t="s">
        <v>11</v>
      </c>
      <c r="B15" s="8" t="n">
        <v>1</v>
      </c>
    </row>
    <row r="16" customFormat="false" ht="15" hidden="false" customHeight="false" outlineLevel="0" collapsed="false">
      <c r="A16" s="3" t="s">
        <v>12</v>
      </c>
      <c r="B16" s="8" t="n">
        <v>1.08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2"/>
    <col collapsed="false" customWidth="true" hidden="false" outlineLevel="0" max="3" min="3" style="0" width="20"/>
    <col collapsed="false" customWidth="true" hidden="false" outlineLevel="0" max="4" min="4" style="0" width="18"/>
    <col collapsed="false" customWidth="true" hidden="false" outlineLevel="0" max="7" min="5" style="0" width="12"/>
    <col collapsed="false" customWidth="true" hidden="false" outlineLevel="0" max="17" min="8" style="0" width="10"/>
  </cols>
  <sheetData>
    <row r="1" customFormat="false" ht="23.85" hidden="false" customHeight="false" outlineLevel="0" collapsed="false">
      <c r="A1" s="9" t="s">
        <v>13</v>
      </c>
      <c r="B1" s="9" t="s">
        <v>14</v>
      </c>
      <c r="C1" s="9" t="s">
        <v>15</v>
      </c>
      <c r="D1" s="9" t="s">
        <v>16</v>
      </c>
      <c r="E1" s="9" t="s">
        <v>17</v>
      </c>
      <c r="F1" s="9" t="s">
        <v>18</v>
      </c>
      <c r="G1" s="9" t="s">
        <v>19</v>
      </c>
      <c r="H1" s="9" t="s">
        <v>20</v>
      </c>
      <c r="I1" s="9" t="s">
        <v>21</v>
      </c>
      <c r="J1" s="9" t="s">
        <v>22</v>
      </c>
      <c r="K1" s="9" t="s">
        <v>23</v>
      </c>
      <c r="L1" s="9" t="s">
        <v>24</v>
      </c>
      <c r="M1" s="9" t="s">
        <v>25</v>
      </c>
      <c r="N1" s="9" t="s">
        <v>26</v>
      </c>
      <c r="O1" s="9" t="s">
        <v>27</v>
      </c>
      <c r="P1" s="9" t="s">
        <v>28</v>
      </c>
      <c r="Q1" s="9" t="s">
        <v>29</v>
      </c>
    </row>
    <row r="2" customFormat="false" ht="15" hidden="false" customHeight="false" outlineLevel="0" collapsed="false">
      <c r="A2" s="10" t="s">
        <v>30</v>
      </c>
      <c r="B2" s="10" t="s">
        <v>31</v>
      </c>
      <c r="C2" s="10" t="s">
        <v>32</v>
      </c>
      <c r="D2" s="10" t="s">
        <v>33</v>
      </c>
      <c r="E2" s="10" t="s">
        <v>12</v>
      </c>
      <c r="F2" s="10" t="s">
        <v>34</v>
      </c>
      <c r="G2" s="5" t="n">
        <v>150</v>
      </c>
      <c r="H2" s="11" t="n">
        <f aca="false">$G2*Assumptions!B$11*(1+Assumptions!$B$4)^0</f>
        <v>129</v>
      </c>
      <c r="I2" s="11" t="n">
        <f aca="false">$G2*Assumptions!C$11*(1+Assumptions!$B$4)^1</f>
        <v>143.82</v>
      </c>
      <c r="J2" s="11" t="n">
        <f aca="false">$G2*Assumptions!D$11*(1+Assumptions!$B$4)^2</f>
        <v>152.9388</v>
      </c>
      <c r="K2" s="11" t="n">
        <f aca="false">$G2*Assumptions!E$11*(1+Assumptions!$B$4)^3</f>
        <v>159.1812</v>
      </c>
      <c r="L2" s="11" t="n">
        <f aca="false">$G2*Assumptions!F$11*(1+Assumptions!$B$4)^4</f>
        <v>162.364824</v>
      </c>
      <c r="M2" s="11" t="n">
        <f aca="false">$G2*Assumptions!G$11*(1+Assumptions!$B$4)^5</f>
        <v>165.61212048</v>
      </c>
      <c r="N2" s="11" t="n">
        <f aca="false">$G2*Assumptions!H$11*(1+Assumptions!$B$4)^6</f>
        <v>168.9243628896</v>
      </c>
      <c r="O2" s="11" t="n">
        <f aca="false">$G2*Assumptions!I$11*(1+Assumptions!$B$4)^7</f>
        <v>172.302850147392</v>
      </c>
      <c r="P2" s="11" t="n">
        <f aca="false">$G2*Assumptions!J$11*(1+Assumptions!$B$4)^8</f>
        <v>175.74890715034</v>
      </c>
      <c r="Q2" s="11" t="n">
        <f aca="false">$G2*Assumptions!K$11*(1+Assumptions!$B$4)^9</f>
        <v>179.263885293347</v>
      </c>
    </row>
    <row r="3" customFormat="false" ht="15" hidden="false" customHeight="false" outlineLevel="0" collapsed="false">
      <c r="A3" s="10" t="s">
        <v>35</v>
      </c>
      <c r="B3" s="10" t="s">
        <v>36</v>
      </c>
      <c r="C3" s="10" t="s">
        <v>37</v>
      </c>
      <c r="D3" s="10" t="s">
        <v>38</v>
      </c>
      <c r="E3" s="10" t="s">
        <v>12</v>
      </c>
      <c r="F3" s="10" t="s">
        <v>34</v>
      </c>
      <c r="G3" s="5" t="n">
        <v>110</v>
      </c>
      <c r="H3" s="11" t="n">
        <f aca="false">$G3*Assumptions!B$11*(1+Assumptions!$B$4)^0</f>
        <v>94.6</v>
      </c>
      <c r="I3" s="11" t="n">
        <f aca="false">$G3*Assumptions!C$11*(1+Assumptions!$B$4)^1</f>
        <v>105.468</v>
      </c>
      <c r="J3" s="11" t="n">
        <f aca="false">$G3*Assumptions!D$11*(1+Assumptions!$B$4)^2</f>
        <v>112.15512</v>
      </c>
      <c r="K3" s="11" t="n">
        <f aca="false">$G3*Assumptions!E$11*(1+Assumptions!$B$4)^3</f>
        <v>116.73288</v>
      </c>
      <c r="L3" s="11" t="n">
        <f aca="false">$G3*Assumptions!F$11*(1+Assumptions!$B$4)^4</f>
        <v>119.0675376</v>
      </c>
      <c r="M3" s="11" t="n">
        <f aca="false">$G3*Assumptions!G$11*(1+Assumptions!$B$4)^5</f>
        <v>121.448888352</v>
      </c>
      <c r="N3" s="11" t="n">
        <f aca="false">$G3*Assumptions!H$11*(1+Assumptions!$B$4)^6</f>
        <v>123.87786611904</v>
      </c>
      <c r="O3" s="11" t="n">
        <f aca="false">$G3*Assumptions!I$11*(1+Assumptions!$B$4)^7</f>
        <v>126.355423441421</v>
      </c>
      <c r="P3" s="11" t="n">
        <f aca="false">$G3*Assumptions!J$11*(1+Assumptions!$B$4)^8</f>
        <v>128.882531910249</v>
      </c>
      <c r="Q3" s="11" t="n">
        <f aca="false">$G3*Assumptions!K$11*(1+Assumptions!$B$4)^9</f>
        <v>131.460182548454</v>
      </c>
    </row>
    <row r="4" customFormat="false" ht="15" hidden="false" customHeight="false" outlineLevel="0" collapsed="false">
      <c r="A4" s="10" t="s">
        <v>39</v>
      </c>
      <c r="B4" s="10" t="s">
        <v>40</v>
      </c>
      <c r="C4" s="10" t="s">
        <v>41</v>
      </c>
      <c r="D4" s="10" t="s">
        <v>42</v>
      </c>
      <c r="E4" s="10" t="s">
        <v>43</v>
      </c>
      <c r="F4" s="10" t="s">
        <v>34</v>
      </c>
      <c r="G4" s="5" t="n">
        <v>90</v>
      </c>
      <c r="H4" s="11" t="n">
        <f aca="false">$G4*Assumptions!B$11*(1+Assumptions!$B$4)^0</f>
        <v>77.4</v>
      </c>
      <c r="I4" s="11" t="n">
        <f aca="false">$G4*Assumptions!C$11*(1+Assumptions!$B$4)^1</f>
        <v>86.292</v>
      </c>
      <c r="J4" s="11" t="n">
        <f aca="false">$G4*Assumptions!D$11*(1+Assumptions!$B$4)^2</f>
        <v>91.76328</v>
      </c>
      <c r="K4" s="11" t="n">
        <f aca="false">$G4*Assumptions!E$11*(1+Assumptions!$B$4)^3</f>
        <v>95.50872</v>
      </c>
      <c r="L4" s="11" t="n">
        <f aca="false">$G4*Assumptions!F$11*(1+Assumptions!$B$4)^4</f>
        <v>97.4188944</v>
      </c>
      <c r="M4" s="11" t="n">
        <f aca="false">$G4*Assumptions!G$11*(1+Assumptions!$B$4)^5</f>
        <v>99.367272288</v>
      </c>
      <c r="N4" s="11" t="n">
        <f aca="false">$G4*Assumptions!H$11*(1+Assumptions!$B$4)^6</f>
        <v>101.35461773376</v>
      </c>
      <c r="O4" s="11" t="n">
        <f aca="false">$G4*Assumptions!I$11*(1+Assumptions!$B$4)^7</f>
        <v>103.381710088435</v>
      </c>
      <c r="P4" s="11" t="n">
        <f aca="false">$G4*Assumptions!J$11*(1+Assumptions!$B$4)^8</f>
        <v>105.449344290204</v>
      </c>
      <c r="Q4" s="11" t="n">
        <f aca="false">$G4*Assumptions!K$11*(1+Assumptions!$B$4)^9</f>
        <v>107.558331176008</v>
      </c>
    </row>
    <row r="5" customFormat="false" ht="15" hidden="false" customHeight="false" outlineLevel="0" collapsed="false">
      <c r="A5" s="10" t="s">
        <v>44</v>
      </c>
      <c r="B5" s="10" t="s">
        <v>45</v>
      </c>
      <c r="C5" s="10" t="s">
        <v>46</v>
      </c>
      <c r="D5" s="10" t="s">
        <v>47</v>
      </c>
      <c r="E5" s="10" t="s">
        <v>43</v>
      </c>
      <c r="F5" s="10" t="s">
        <v>48</v>
      </c>
      <c r="G5" s="5" t="n">
        <v>85</v>
      </c>
      <c r="H5" s="11" t="n">
        <f aca="false">$G5*Assumptions!B$11*(1+Assumptions!$B$4)^0</f>
        <v>73.1</v>
      </c>
      <c r="I5" s="11" t="n">
        <f aca="false">$G5*Assumptions!C$11*(1+Assumptions!$B$4)^1</f>
        <v>81.498</v>
      </c>
      <c r="J5" s="11" t="n">
        <f aca="false">$G5*Assumptions!D$11*(1+Assumptions!$B$4)^2</f>
        <v>86.66532</v>
      </c>
      <c r="K5" s="11" t="n">
        <f aca="false">$G5*Assumptions!E$11*(1+Assumptions!$B$4)^3</f>
        <v>90.20268</v>
      </c>
      <c r="L5" s="11" t="n">
        <f aca="false">$G5*Assumptions!F$11*(1+Assumptions!$B$4)^4</f>
        <v>92.0067336</v>
      </c>
      <c r="M5" s="11" t="n">
        <f aca="false">$G5*Assumptions!G$11*(1+Assumptions!$B$4)^5</f>
        <v>93.846868272</v>
      </c>
      <c r="N5" s="11" t="n">
        <f aca="false">$G5*Assumptions!H$11*(1+Assumptions!$B$4)^6</f>
        <v>95.72380563744</v>
      </c>
      <c r="O5" s="11" t="n">
        <f aca="false">$G5*Assumptions!I$11*(1+Assumptions!$B$4)^7</f>
        <v>97.6382817501888</v>
      </c>
      <c r="P5" s="11" t="n">
        <f aca="false">$G5*Assumptions!J$11*(1+Assumptions!$B$4)^8</f>
        <v>99.5910473851926</v>
      </c>
      <c r="Q5" s="11" t="n">
        <f aca="false">$G5*Assumptions!K$11*(1+Assumptions!$B$4)^9</f>
        <v>101.582868332896</v>
      </c>
    </row>
    <row r="6" customFormat="false" ht="15" hidden="false" customHeight="false" outlineLevel="0" collapsed="false">
      <c r="A6" s="10" t="s">
        <v>49</v>
      </c>
      <c r="B6" s="10" t="s">
        <v>50</v>
      </c>
      <c r="C6" s="10" t="s">
        <v>51</v>
      </c>
      <c r="D6" s="10" t="s">
        <v>52</v>
      </c>
      <c r="E6" s="10" t="s">
        <v>43</v>
      </c>
      <c r="F6" s="10" t="s">
        <v>48</v>
      </c>
      <c r="G6" s="5" t="n">
        <v>75</v>
      </c>
      <c r="H6" s="11" t="n">
        <f aca="false">$G6*Assumptions!B$11*(1+Assumptions!$B$4)^0</f>
        <v>64.5</v>
      </c>
      <c r="I6" s="11" t="n">
        <f aca="false">$G6*Assumptions!C$11*(1+Assumptions!$B$4)^1</f>
        <v>71.91</v>
      </c>
      <c r="J6" s="11" t="n">
        <f aca="false">$G6*Assumptions!D$11*(1+Assumptions!$B$4)^2</f>
        <v>76.4694</v>
      </c>
      <c r="K6" s="11" t="n">
        <f aca="false">$G6*Assumptions!E$11*(1+Assumptions!$B$4)^3</f>
        <v>79.5906</v>
      </c>
      <c r="L6" s="11" t="n">
        <f aca="false">$G6*Assumptions!F$11*(1+Assumptions!$B$4)^4</f>
        <v>81.182412</v>
      </c>
      <c r="M6" s="11" t="n">
        <f aca="false">$G6*Assumptions!G$11*(1+Assumptions!$B$4)^5</f>
        <v>82.80606024</v>
      </c>
      <c r="N6" s="11" t="n">
        <f aca="false">$G6*Assumptions!H$11*(1+Assumptions!$B$4)^6</f>
        <v>84.4621814448</v>
      </c>
      <c r="O6" s="11" t="n">
        <f aca="false">$G6*Assumptions!I$11*(1+Assumptions!$B$4)^7</f>
        <v>86.151425073696</v>
      </c>
      <c r="P6" s="11" t="n">
        <f aca="false">$G6*Assumptions!J$11*(1+Assumptions!$B$4)^8</f>
        <v>87.8744535751699</v>
      </c>
      <c r="Q6" s="11" t="n">
        <f aca="false">$G6*Assumptions!K$11*(1+Assumptions!$B$4)^9</f>
        <v>89.6319426466733</v>
      </c>
    </row>
    <row r="7" customFormat="false" ht="15" hidden="false" customHeight="false" outlineLevel="0" collapsed="false">
      <c r="A7" s="10" t="s">
        <v>53</v>
      </c>
      <c r="B7" s="10" t="s">
        <v>54</v>
      </c>
      <c r="C7" s="10" t="s">
        <v>55</v>
      </c>
      <c r="D7" s="10" t="s">
        <v>56</v>
      </c>
      <c r="E7" s="10" t="s">
        <v>43</v>
      </c>
      <c r="F7" s="10" t="s">
        <v>48</v>
      </c>
      <c r="G7" s="5" t="n">
        <v>75</v>
      </c>
      <c r="H7" s="11" t="n">
        <f aca="false">$G7*Assumptions!B$11*(1+Assumptions!$B$4)^0</f>
        <v>64.5</v>
      </c>
      <c r="I7" s="11" t="n">
        <f aca="false">$G7*Assumptions!C$11*(1+Assumptions!$B$4)^1</f>
        <v>71.91</v>
      </c>
      <c r="J7" s="11" t="n">
        <f aca="false">$G7*Assumptions!D$11*(1+Assumptions!$B$4)^2</f>
        <v>76.4694</v>
      </c>
      <c r="K7" s="11" t="n">
        <f aca="false">$G7*Assumptions!E$11*(1+Assumptions!$B$4)^3</f>
        <v>79.5906</v>
      </c>
      <c r="L7" s="11" t="n">
        <f aca="false">$G7*Assumptions!F$11*(1+Assumptions!$B$4)^4</f>
        <v>81.182412</v>
      </c>
      <c r="M7" s="11" t="n">
        <f aca="false">$G7*Assumptions!G$11*(1+Assumptions!$B$4)^5</f>
        <v>82.80606024</v>
      </c>
      <c r="N7" s="11" t="n">
        <f aca="false">$G7*Assumptions!H$11*(1+Assumptions!$B$4)^6</f>
        <v>84.4621814448</v>
      </c>
      <c r="O7" s="11" t="n">
        <f aca="false">$G7*Assumptions!I$11*(1+Assumptions!$B$4)^7</f>
        <v>86.151425073696</v>
      </c>
      <c r="P7" s="11" t="n">
        <f aca="false">$G7*Assumptions!J$11*(1+Assumptions!$B$4)^8</f>
        <v>87.8744535751699</v>
      </c>
      <c r="Q7" s="11" t="n">
        <f aca="false">$G7*Assumptions!K$11*(1+Assumptions!$B$4)^9</f>
        <v>89.6319426466733</v>
      </c>
    </row>
    <row r="8" customFormat="false" ht="15" hidden="false" customHeight="false" outlineLevel="0" collapsed="false">
      <c r="A8" s="10" t="s">
        <v>57</v>
      </c>
      <c r="B8" s="10" t="s">
        <v>58</v>
      </c>
      <c r="C8" s="10" t="s">
        <v>59</v>
      </c>
      <c r="D8" s="10" t="s">
        <v>38</v>
      </c>
      <c r="E8" s="10" t="s">
        <v>43</v>
      </c>
      <c r="F8" s="10" t="s">
        <v>34</v>
      </c>
      <c r="G8" s="5" t="n">
        <v>50</v>
      </c>
      <c r="H8" s="11" t="n">
        <f aca="false">$G8*Assumptions!B$11*(1+Assumptions!$B$4)^0</f>
        <v>43</v>
      </c>
      <c r="I8" s="11" t="n">
        <f aca="false">$G8*Assumptions!C$11*(1+Assumptions!$B$4)^1</f>
        <v>47.94</v>
      </c>
      <c r="J8" s="11" t="n">
        <f aca="false">$G8*Assumptions!D$11*(1+Assumptions!$B$4)^2</f>
        <v>50.9796</v>
      </c>
      <c r="K8" s="11" t="n">
        <f aca="false">$G8*Assumptions!E$11*(1+Assumptions!$B$4)^3</f>
        <v>53.0604</v>
      </c>
      <c r="L8" s="11" t="n">
        <f aca="false">$G8*Assumptions!F$11*(1+Assumptions!$B$4)^4</f>
        <v>54.121608</v>
      </c>
      <c r="M8" s="11" t="n">
        <f aca="false">$G8*Assumptions!G$11*(1+Assumptions!$B$4)^5</f>
        <v>55.20404016</v>
      </c>
      <c r="N8" s="11" t="n">
        <f aca="false">$G8*Assumptions!H$11*(1+Assumptions!$B$4)^6</f>
        <v>56.3081209632</v>
      </c>
      <c r="O8" s="11" t="n">
        <f aca="false">$G8*Assumptions!I$11*(1+Assumptions!$B$4)^7</f>
        <v>57.434283382464</v>
      </c>
      <c r="P8" s="11" t="n">
        <f aca="false">$G8*Assumptions!J$11*(1+Assumptions!$B$4)^8</f>
        <v>58.5829690501133</v>
      </c>
      <c r="Q8" s="11" t="n">
        <f aca="false">$G8*Assumptions!K$11*(1+Assumptions!$B$4)^9</f>
        <v>59.7546284311156</v>
      </c>
    </row>
    <row r="9" customFormat="false" ht="15" hidden="false" customHeight="false" outlineLevel="0" collapsed="false">
      <c r="A9" s="10" t="s">
        <v>60</v>
      </c>
      <c r="B9" s="10" t="s">
        <v>61</v>
      </c>
      <c r="C9" s="10" t="s">
        <v>62</v>
      </c>
      <c r="D9" s="10" t="s">
        <v>63</v>
      </c>
      <c r="E9" s="10" t="s">
        <v>64</v>
      </c>
      <c r="F9" s="10" t="s">
        <v>34</v>
      </c>
      <c r="G9" s="5" t="n">
        <v>39.6</v>
      </c>
      <c r="H9" s="11" t="n">
        <f aca="false">$G9*Assumptions!B$11*(1+Assumptions!$B$4)^0</f>
        <v>34.056</v>
      </c>
      <c r="I9" s="11" t="n">
        <f aca="false">$G9*Assumptions!C$11*(1+Assumptions!$B$4)^1</f>
        <v>37.96848</v>
      </c>
      <c r="J9" s="11" t="n">
        <f aca="false">$G9*Assumptions!D$11*(1+Assumptions!$B$4)^2</f>
        <v>40.3758432</v>
      </c>
      <c r="K9" s="11" t="n">
        <f aca="false">$G9*Assumptions!E$11*(1+Assumptions!$B$4)^3</f>
        <v>42.0238368</v>
      </c>
      <c r="L9" s="11" t="n">
        <f aca="false">$G9*Assumptions!F$11*(1+Assumptions!$B$4)^4</f>
        <v>42.864313536</v>
      </c>
      <c r="M9" s="11" t="n">
        <f aca="false">$G9*Assumptions!G$11*(1+Assumptions!$B$4)^5</f>
        <v>43.72159980672</v>
      </c>
      <c r="N9" s="11" t="n">
        <f aca="false">$G9*Assumptions!H$11*(1+Assumptions!$B$4)^6</f>
        <v>44.5960318028544</v>
      </c>
      <c r="O9" s="11" t="n">
        <f aca="false">$G9*Assumptions!I$11*(1+Assumptions!$B$4)^7</f>
        <v>45.4879524389115</v>
      </c>
      <c r="P9" s="11" t="n">
        <f aca="false">$G9*Assumptions!J$11*(1+Assumptions!$B$4)^8</f>
        <v>46.3977114876897</v>
      </c>
      <c r="Q9" s="11" t="n">
        <f aca="false">$G9*Assumptions!K$11*(1+Assumptions!$B$4)^9</f>
        <v>47.3256657174435</v>
      </c>
    </row>
    <row r="10" customFormat="false" ht="15" hidden="false" customHeight="false" outlineLevel="0" collapsed="false">
      <c r="A10" s="10" t="s">
        <v>65</v>
      </c>
      <c r="B10" s="10" t="s">
        <v>66</v>
      </c>
      <c r="C10" s="10" t="s">
        <v>67</v>
      </c>
      <c r="D10" s="10" t="s">
        <v>68</v>
      </c>
      <c r="E10" s="10" t="s">
        <v>43</v>
      </c>
      <c r="F10" s="10" t="s">
        <v>34</v>
      </c>
      <c r="G10" s="5" t="n">
        <v>30</v>
      </c>
      <c r="H10" s="11" t="n">
        <f aca="false">$G10*Assumptions!B$11*(1+Assumptions!$B$4)^0</f>
        <v>25.8</v>
      </c>
      <c r="I10" s="11" t="n">
        <f aca="false">$G10*Assumptions!C$11*(1+Assumptions!$B$4)^1</f>
        <v>28.764</v>
      </c>
      <c r="J10" s="11" t="n">
        <f aca="false">$G10*Assumptions!D$11*(1+Assumptions!$B$4)^2</f>
        <v>30.58776</v>
      </c>
      <c r="K10" s="11" t="n">
        <f aca="false">$G10*Assumptions!E$11*(1+Assumptions!$B$4)^3</f>
        <v>31.83624</v>
      </c>
      <c r="L10" s="11" t="n">
        <f aca="false">$G10*Assumptions!F$11*(1+Assumptions!$B$4)^4</f>
        <v>32.4729648</v>
      </c>
      <c r="M10" s="11" t="n">
        <f aca="false">$G10*Assumptions!G$11*(1+Assumptions!$B$4)^5</f>
        <v>33.122424096</v>
      </c>
      <c r="N10" s="11" t="n">
        <f aca="false">$G10*Assumptions!H$11*(1+Assumptions!$B$4)^6</f>
        <v>33.78487257792</v>
      </c>
      <c r="O10" s="11" t="n">
        <f aca="false">$G10*Assumptions!I$11*(1+Assumptions!$B$4)^7</f>
        <v>34.4605700294784</v>
      </c>
      <c r="P10" s="11" t="n">
        <f aca="false">$G10*Assumptions!J$11*(1+Assumptions!$B$4)^8</f>
        <v>35.149781430068</v>
      </c>
      <c r="Q10" s="11" t="n">
        <f aca="false">$G10*Assumptions!K$11*(1+Assumptions!$B$4)^9</f>
        <v>35.8527770586693</v>
      </c>
    </row>
    <row r="11" customFormat="false" ht="15" hidden="false" customHeight="false" outlineLevel="0" collapsed="false">
      <c r="A11" s="10" t="s">
        <v>69</v>
      </c>
      <c r="B11" s="10" t="s">
        <v>70</v>
      </c>
      <c r="C11" s="10" t="s">
        <v>71</v>
      </c>
      <c r="D11" s="10" t="s">
        <v>72</v>
      </c>
      <c r="E11" s="10" t="s">
        <v>64</v>
      </c>
      <c r="F11" s="10" t="s">
        <v>34</v>
      </c>
      <c r="G11" s="5" t="n">
        <v>20</v>
      </c>
      <c r="H11" s="11" t="n">
        <f aca="false">$G11*Assumptions!B$11*(1+Assumptions!$B$4)^0</f>
        <v>17.2</v>
      </c>
      <c r="I11" s="11" t="n">
        <f aca="false">$G11*Assumptions!C$11*(1+Assumptions!$B$4)^1</f>
        <v>19.176</v>
      </c>
      <c r="J11" s="11" t="n">
        <f aca="false">$G11*Assumptions!D$11*(1+Assumptions!$B$4)^2</f>
        <v>20.39184</v>
      </c>
      <c r="K11" s="11" t="n">
        <f aca="false">$G11*Assumptions!E$11*(1+Assumptions!$B$4)^3</f>
        <v>21.22416</v>
      </c>
      <c r="L11" s="11" t="n">
        <f aca="false">$G11*Assumptions!F$11*(1+Assumptions!$B$4)^4</f>
        <v>21.6486432</v>
      </c>
      <c r="M11" s="11" t="n">
        <f aca="false">$G11*Assumptions!G$11*(1+Assumptions!$B$4)^5</f>
        <v>22.081616064</v>
      </c>
      <c r="N11" s="11" t="n">
        <f aca="false">$G11*Assumptions!H$11*(1+Assumptions!$B$4)^6</f>
        <v>22.52324838528</v>
      </c>
      <c r="O11" s="11" t="n">
        <f aca="false">$G11*Assumptions!I$11*(1+Assumptions!$B$4)^7</f>
        <v>22.9737133529856</v>
      </c>
      <c r="P11" s="11" t="n">
        <f aca="false">$G11*Assumptions!J$11*(1+Assumptions!$B$4)^8</f>
        <v>23.4331876200453</v>
      </c>
      <c r="Q11" s="11" t="n">
        <f aca="false">$G11*Assumptions!K$11*(1+Assumptions!$B$4)^9</f>
        <v>23.9018513724462</v>
      </c>
    </row>
    <row r="12" customFormat="false" ht="15" hidden="false" customHeight="false" outlineLevel="0" collapsed="false">
      <c r="A12" s="10" t="s">
        <v>73</v>
      </c>
      <c r="B12" s="10" t="s">
        <v>74</v>
      </c>
      <c r="C12" s="10" t="s">
        <v>75</v>
      </c>
      <c r="D12" s="10" t="s">
        <v>76</v>
      </c>
      <c r="E12" s="10" t="s">
        <v>43</v>
      </c>
      <c r="F12" s="10" t="s">
        <v>34</v>
      </c>
      <c r="G12" s="5" t="n">
        <v>20</v>
      </c>
      <c r="H12" s="11" t="n">
        <f aca="false">$G12*Assumptions!B$11*(1+Assumptions!$B$4)^0</f>
        <v>17.2</v>
      </c>
      <c r="I12" s="11" t="n">
        <f aca="false">$G12*Assumptions!C$11*(1+Assumptions!$B$4)^1</f>
        <v>19.176</v>
      </c>
      <c r="J12" s="11" t="n">
        <f aca="false">$G12*Assumptions!D$11*(1+Assumptions!$B$4)^2</f>
        <v>20.39184</v>
      </c>
      <c r="K12" s="11" t="n">
        <f aca="false">$G12*Assumptions!E$11*(1+Assumptions!$B$4)^3</f>
        <v>21.22416</v>
      </c>
      <c r="L12" s="11" t="n">
        <f aca="false">$G12*Assumptions!F$11*(1+Assumptions!$B$4)^4</f>
        <v>21.6486432</v>
      </c>
      <c r="M12" s="11" t="n">
        <f aca="false">$G12*Assumptions!G$11*(1+Assumptions!$B$4)^5</f>
        <v>22.081616064</v>
      </c>
      <c r="N12" s="11" t="n">
        <f aca="false">$G12*Assumptions!H$11*(1+Assumptions!$B$4)^6</f>
        <v>22.52324838528</v>
      </c>
      <c r="O12" s="11" t="n">
        <f aca="false">$G12*Assumptions!I$11*(1+Assumptions!$B$4)^7</f>
        <v>22.9737133529856</v>
      </c>
      <c r="P12" s="11" t="n">
        <f aca="false">$G12*Assumptions!J$11*(1+Assumptions!$B$4)^8</f>
        <v>23.4331876200453</v>
      </c>
      <c r="Q12" s="11" t="n">
        <f aca="false">$G12*Assumptions!K$11*(1+Assumptions!$B$4)^9</f>
        <v>23.9018513724462</v>
      </c>
    </row>
    <row r="13" customFormat="false" ht="15" hidden="false" customHeight="false" outlineLevel="0" collapsed="false">
      <c r="A13" s="10" t="s">
        <v>77</v>
      </c>
      <c r="B13" s="10" t="s">
        <v>78</v>
      </c>
      <c r="C13" s="10" t="s">
        <v>79</v>
      </c>
      <c r="D13" s="10" t="s">
        <v>38</v>
      </c>
      <c r="E13" s="10" t="s">
        <v>43</v>
      </c>
      <c r="F13" s="10" t="s">
        <v>34</v>
      </c>
      <c r="G13" s="5" t="n">
        <v>18</v>
      </c>
      <c r="H13" s="11" t="n">
        <f aca="false">$G13*Assumptions!B$11*(1+Assumptions!$B$4)^0</f>
        <v>15.48</v>
      </c>
      <c r="I13" s="11" t="n">
        <f aca="false">$G13*Assumptions!C$11*(1+Assumptions!$B$4)^1</f>
        <v>17.2584</v>
      </c>
      <c r="J13" s="11" t="n">
        <f aca="false">$G13*Assumptions!D$11*(1+Assumptions!$B$4)^2</f>
        <v>18.352656</v>
      </c>
      <c r="K13" s="11" t="n">
        <f aca="false">$G13*Assumptions!E$11*(1+Assumptions!$B$4)^3</f>
        <v>19.101744</v>
      </c>
      <c r="L13" s="11" t="n">
        <f aca="false">$G13*Assumptions!F$11*(1+Assumptions!$B$4)^4</f>
        <v>19.48377888</v>
      </c>
      <c r="M13" s="11" t="n">
        <f aca="false">$G13*Assumptions!G$11*(1+Assumptions!$B$4)^5</f>
        <v>19.8734544576</v>
      </c>
      <c r="N13" s="11" t="n">
        <f aca="false">$G13*Assumptions!H$11*(1+Assumptions!$B$4)^6</f>
        <v>20.270923546752</v>
      </c>
      <c r="O13" s="11" t="n">
        <f aca="false">$G13*Assumptions!I$11*(1+Assumptions!$B$4)^7</f>
        <v>20.676342017687</v>
      </c>
      <c r="P13" s="11" t="n">
        <f aca="false">$G13*Assumptions!J$11*(1+Assumptions!$B$4)^8</f>
        <v>21.0898688580408</v>
      </c>
      <c r="Q13" s="11" t="n">
        <f aca="false">$G13*Assumptions!K$11*(1+Assumptions!$B$4)^9</f>
        <v>21.5116662352016</v>
      </c>
    </row>
    <row r="14" customFormat="false" ht="15" hidden="false" customHeight="false" outlineLevel="0" collapsed="false">
      <c r="A14" s="10" t="s">
        <v>80</v>
      </c>
      <c r="B14" s="10" t="s">
        <v>81</v>
      </c>
      <c r="C14" s="10" t="s">
        <v>82</v>
      </c>
      <c r="D14" s="10" t="s">
        <v>38</v>
      </c>
      <c r="E14" s="10" t="s">
        <v>12</v>
      </c>
      <c r="F14" s="10" t="s">
        <v>34</v>
      </c>
      <c r="G14" s="5" t="n">
        <v>14</v>
      </c>
      <c r="H14" s="11" t="n">
        <f aca="false">$G14*Assumptions!B$11*(1+Assumptions!$B$4)^0</f>
        <v>12.04</v>
      </c>
      <c r="I14" s="11" t="n">
        <f aca="false">$G14*Assumptions!C$11*(1+Assumptions!$B$4)^1</f>
        <v>13.4232</v>
      </c>
      <c r="J14" s="11" t="n">
        <f aca="false">$G14*Assumptions!D$11*(1+Assumptions!$B$4)^2</f>
        <v>14.274288</v>
      </c>
      <c r="K14" s="11" t="n">
        <f aca="false">$G14*Assumptions!E$11*(1+Assumptions!$B$4)^3</f>
        <v>14.856912</v>
      </c>
      <c r="L14" s="11" t="n">
        <f aca="false">$G14*Assumptions!F$11*(1+Assumptions!$B$4)^4</f>
        <v>15.15405024</v>
      </c>
      <c r="M14" s="11" t="n">
        <f aca="false">$G14*Assumptions!G$11*(1+Assumptions!$B$4)^5</f>
        <v>15.4571312448</v>
      </c>
      <c r="N14" s="11" t="n">
        <f aca="false">$G14*Assumptions!H$11*(1+Assumptions!$B$4)^6</f>
        <v>15.766273869696</v>
      </c>
      <c r="O14" s="11" t="n">
        <f aca="false">$G14*Assumptions!I$11*(1+Assumptions!$B$4)^7</f>
        <v>16.0815993470899</v>
      </c>
      <c r="P14" s="11" t="n">
        <f aca="false">$G14*Assumptions!J$11*(1+Assumptions!$B$4)^8</f>
        <v>16.4032313340317</v>
      </c>
      <c r="Q14" s="11" t="n">
        <f aca="false">$G14*Assumptions!K$11*(1+Assumptions!$B$4)^9</f>
        <v>16.7312959607124</v>
      </c>
    </row>
    <row r="15" customFormat="false" ht="15" hidden="false" customHeight="false" outlineLevel="0" collapsed="false">
      <c r="A15" s="10" t="s">
        <v>83</v>
      </c>
      <c r="B15" s="10" t="s">
        <v>84</v>
      </c>
      <c r="C15" s="10" t="s">
        <v>85</v>
      </c>
      <c r="D15" s="10" t="s">
        <v>38</v>
      </c>
      <c r="E15" s="10" t="s">
        <v>64</v>
      </c>
      <c r="F15" s="10" t="s">
        <v>34</v>
      </c>
      <c r="G15" s="5" t="n">
        <v>7</v>
      </c>
      <c r="H15" s="11" t="n">
        <f aca="false">$G15*Assumptions!B$11*(1+Assumptions!$B$4)^0</f>
        <v>6.02</v>
      </c>
      <c r="I15" s="11" t="n">
        <f aca="false">$G15*Assumptions!C$11*(1+Assumptions!$B$4)^1</f>
        <v>6.7116</v>
      </c>
      <c r="J15" s="11" t="n">
        <f aca="false">$G15*Assumptions!D$11*(1+Assumptions!$B$4)^2</f>
        <v>7.137144</v>
      </c>
      <c r="K15" s="11" t="n">
        <f aca="false">$G15*Assumptions!E$11*(1+Assumptions!$B$4)^3</f>
        <v>7.428456</v>
      </c>
      <c r="L15" s="11" t="n">
        <f aca="false">$G15*Assumptions!F$11*(1+Assumptions!$B$4)^4</f>
        <v>7.57702512</v>
      </c>
      <c r="M15" s="11" t="n">
        <f aca="false">$G15*Assumptions!G$11*(1+Assumptions!$B$4)^5</f>
        <v>7.7285656224</v>
      </c>
      <c r="N15" s="11" t="n">
        <f aca="false">$G15*Assumptions!H$11*(1+Assumptions!$B$4)^6</f>
        <v>7.883136934848</v>
      </c>
      <c r="O15" s="11" t="n">
        <f aca="false">$G15*Assumptions!I$11*(1+Assumptions!$B$4)^7</f>
        <v>8.04079967354496</v>
      </c>
      <c r="P15" s="11" t="n">
        <f aca="false">$G15*Assumptions!J$11*(1+Assumptions!$B$4)^8</f>
        <v>8.20161566701586</v>
      </c>
      <c r="Q15" s="11" t="n">
        <f aca="false">$G15*Assumptions!K$11*(1+Assumptions!$B$4)^9</f>
        <v>8.36564798035618</v>
      </c>
    </row>
    <row r="16" customFormat="false" ht="15" hidden="false" customHeight="false" outlineLevel="0" collapsed="false">
      <c r="A16" s="10" t="s">
        <v>86</v>
      </c>
      <c r="B16" s="10" t="s">
        <v>87</v>
      </c>
      <c r="C16" s="10" t="s">
        <v>75</v>
      </c>
      <c r="D16" s="10" t="s">
        <v>88</v>
      </c>
      <c r="E16" s="10" t="s">
        <v>12</v>
      </c>
      <c r="F16" s="10" t="s">
        <v>34</v>
      </c>
      <c r="G16" s="5" t="n">
        <v>1</v>
      </c>
      <c r="H16" s="11" t="n">
        <f aca="false">$G16*Assumptions!B$11*(1+Assumptions!$B$4)^0</f>
        <v>0.86</v>
      </c>
      <c r="I16" s="11" t="n">
        <f aca="false">$G16*Assumptions!C$11*(1+Assumptions!$B$4)^1</f>
        <v>0.9588</v>
      </c>
      <c r="J16" s="11" t="n">
        <f aca="false">$G16*Assumptions!D$11*(1+Assumptions!$B$4)^2</f>
        <v>1.019592</v>
      </c>
      <c r="K16" s="11" t="n">
        <f aca="false">$G16*Assumptions!E$11*(1+Assumptions!$B$4)^3</f>
        <v>1.061208</v>
      </c>
      <c r="L16" s="11" t="n">
        <f aca="false">$G16*Assumptions!F$11*(1+Assumptions!$B$4)^4</f>
        <v>1.08243216</v>
      </c>
      <c r="M16" s="11" t="n">
        <f aca="false">$G16*Assumptions!G$11*(1+Assumptions!$B$4)^5</f>
        <v>1.1040808032</v>
      </c>
      <c r="N16" s="11" t="n">
        <f aca="false">$G16*Assumptions!H$11*(1+Assumptions!$B$4)^6</f>
        <v>1.126162419264</v>
      </c>
      <c r="O16" s="11" t="n">
        <f aca="false">$G16*Assumptions!I$11*(1+Assumptions!$B$4)^7</f>
        <v>1.14868566764928</v>
      </c>
      <c r="P16" s="11" t="n">
        <f aca="false">$G16*Assumptions!J$11*(1+Assumptions!$B$4)^8</f>
        <v>1.17165938100227</v>
      </c>
      <c r="Q16" s="11" t="n">
        <f aca="false">$G16*Assumptions!K$11*(1+Assumptions!$B$4)^9</f>
        <v>1.19509256862231</v>
      </c>
    </row>
    <row r="17" customFormat="false" ht="15" hidden="false" customHeight="false" outlineLevel="0" collapsed="false">
      <c r="B17" s="6" t="s">
        <v>89</v>
      </c>
      <c r="H17" s="12" t="n">
        <f aca="false">SUM(H2:H16)</f>
        <v>674.756</v>
      </c>
      <c r="I17" s="12" t="n">
        <f aca="false">SUM(I2:I16)</f>
        <v>752.27448</v>
      </c>
      <c r="J17" s="12" t="n">
        <f aca="false">SUM(J2:J16)</f>
        <v>799.9718832</v>
      </c>
      <c r="K17" s="12" t="n">
        <f aca="false">SUM(K2:K16)</f>
        <v>832.6237968</v>
      </c>
      <c r="L17" s="12" t="n">
        <f aca="false">SUM(L2:L16)</f>
        <v>849.276272736</v>
      </c>
      <c r="M17" s="12" t="n">
        <f aca="false">SUM(M2:M16)</f>
        <v>866.26179819072</v>
      </c>
      <c r="N17" s="12" t="n">
        <f aca="false">SUM(N2:N16)</f>
        <v>883.587034154535</v>
      </c>
      <c r="O17" s="12" t="n">
        <f aca="false">SUM(O2:O16)</f>
        <v>901.258774837625</v>
      </c>
      <c r="P17" s="12" t="n">
        <f aca="false">SUM(P2:P16)</f>
        <v>919.283950334378</v>
      </c>
      <c r="Q17" s="12" t="n">
        <f aca="false">SUM(Q2:Q16)</f>
        <v>937.669629341065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2" style="0" width="32"/>
    <col collapsed="false" customWidth="true" hidden="false" outlineLevel="0" max="3" min="3" style="0" width="16"/>
    <col collapsed="false" customWidth="true" hidden="false" outlineLevel="0" max="4" min="4" style="0" width="13"/>
    <col collapsed="false" customWidth="true" hidden="false" outlineLevel="0" max="14" min="5" style="0" width="10"/>
  </cols>
  <sheetData>
    <row r="1" customFormat="false" ht="23.85" hidden="false" customHeight="false" outlineLevel="0" collapsed="false">
      <c r="A1" s="9" t="s">
        <v>90</v>
      </c>
      <c r="B1" s="9" t="s">
        <v>91</v>
      </c>
      <c r="C1" s="9" t="s">
        <v>92</v>
      </c>
      <c r="D1" s="9" t="s">
        <v>19</v>
      </c>
      <c r="E1" s="9" t="s">
        <v>20</v>
      </c>
      <c r="F1" s="9" t="s">
        <v>21</v>
      </c>
      <c r="G1" s="9" t="s">
        <v>22</v>
      </c>
      <c r="H1" s="9" t="s">
        <v>23</v>
      </c>
      <c r="I1" s="9" t="s">
        <v>24</v>
      </c>
      <c r="J1" s="9" t="s">
        <v>25</v>
      </c>
      <c r="K1" s="9" t="s">
        <v>26</v>
      </c>
      <c r="L1" s="9" t="s">
        <v>27</v>
      </c>
      <c r="M1" s="9" t="s">
        <v>28</v>
      </c>
      <c r="N1" s="9" t="s">
        <v>29</v>
      </c>
    </row>
    <row r="2" customFormat="false" ht="15" hidden="false" customHeight="false" outlineLevel="0" collapsed="false">
      <c r="A2" s="10" t="s">
        <v>93</v>
      </c>
      <c r="B2" s="10" t="s">
        <v>94</v>
      </c>
      <c r="C2" s="10" t="s">
        <v>95</v>
      </c>
      <c r="D2" s="5" t="n">
        <v>-25</v>
      </c>
      <c r="E2" s="11" t="n">
        <f aca="false">$D2*(1+Assumptions!$B$7)^0</f>
        <v>-25</v>
      </c>
      <c r="F2" s="11" t="n">
        <f aca="false">$D2*(1+Assumptions!$B$7)^1</f>
        <v>-25.5</v>
      </c>
      <c r="G2" s="11" t="n">
        <f aca="false">$D2*(1+Assumptions!$B$7)^2</f>
        <v>-26.01</v>
      </c>
      <c r="H2" s="11" t="n">
        <f aca="false">$D2*(1+Assumptions!$B$7)^3</f>
        <v>-26.5302</v>
      </c>
      <c r="I2" s="11" t="n">
        <f aca="false">$D2*(1+Assumptions!$B$7)^4</f>
        <v>-27.060804</v>
      </c>
      <c r="J2" s="11" t="n">
        <f aca="false">$D2*(1+Assumptions!$B$7)^5</f>
        <v>-27.60202008</v>
      </c>
      <c r="K2" s="11" t="n">
        <f aca="false">$D2*(1+Assumptions!$B$7)^6</f>
        <v>-28.1540604816</v>
      </c>
      <c r="L2" s="11" t="n">
        <f aca="false">$D2*(1+Assumptions!$B$7)^7</f>
        <v>-28.717141691232</v>
      </c>
      <c r="M2" s="11" t="n">
        <f aca="false">$D2*(1+Assumptions!$B$7)^8</f>
        <v>-29.2914845250566</v>
      </c>
      <c r="N2" s="11" t="n">
        <f aca="false">$D2*(1+Assumptions!$B$7)^9</f>
        <v>-29.8773142155578</v>
      </c>
    </row>
    <row r="3" customFormat="false" ht="15" hidden="false" customHeight="false" outlineLevel="0" collapsed="false">
      <c r="A3" s="10" t="s">
        <v>96</v>
      </c>
      <c r="B3" s="10" t="s">
        <v>97</v>
      </c>
      <c r="C3" s="10" t="s">
        <v>98</v>
      </c>
      <c r="D3" s="5" t="n">
        <v>-10</v>
      </c>
      <c r="E3" s="11" t="n">
        <f aca="false">$D3*(1+Assumptions!$B$7)^0</f>
        <v>-10</v>
      </c>
      <c r="F3" s="11" t="n">
        <f aca="false">$D3*(1+Assumptions!$B$7)^1</f>
        <v>-10.2</v>
      </c>
      <c r="G3" s="11" t="n">
        <f aca="false">$D3*(1+Assumptions!$B$7)^2</f>
        <v>-10.404</v>
      </c>
      <c r="H3" s="11" t="n">
        <f aca="false">$D3*(1+Assumptions!$B$7)^3</f>
        <v>-10.61208</v>
      </c>
      <c r="I3" s="11" t="n">
        <f aca="false">$D3*(1+Assumptions!$B$7)^4</f>
        <v>-10.8243216</v>
      </c>
      <c r="J3" s="11" t="n">
        <f aca="false">$D3*(1+Assumptions!$B$7)^5</f>
        <v>-11.040808032</v>
      </c>
      <c r="K3" s="11" t="n">
        <f aca="false">$D3*(1+Assumptions!$B$7)^6</f>
        <v>-11.26162419264</v>
      </c>
      <c r="L3" s="11" t="n">
        <f aca="false">$D3*(1+Assumptions!$B$7)^7</f>
        <v>-11.4868566764928</v>
      </c>
      <c r="M3" s="11" t="n">
        <f aca="false">$D3*(1+Assumptions!$B$7)^8</f>
        <v>-11.7165938100227</v>
      </c>
      <c r="N3" s="11" t="n">
        <f aca="false">$D3*(1+Assumptions!$B$7)^9</f>
        <v>-11.9509256862231</v>
      </c>
    </row>
    <row r="4" customFormat="false" ht="15" hidden="false" customHeight="false" outlineLevel="0" collapsed="false">
      <c r="B4" s="6" t="s">
        <v>99</v>
      </c>
      <c r="E4" s="12" t="n">
        <f aca="false">SUM(E2:E3)</f>
        <v>-35</v>
      </c>
      <c r="F4" s="12" t="n">
        <f aca="false">SUM(F2:F3)</f>
        <v>-35.7</v>
      </c>
      <c r="G4" s="12" t="n">
        <f aca="false">SUM(G2:G3)</f>
        <v>-36.414</v>
      </c>
      <c r="H4" s="12" t="n">
        <f aca="false">SUM(H2:H3)</f>
        <v>-37.14228</v>
      </c>
      <c r="I4" s="12" t="n">
        <f aca="false">SUM(I2:I3)</f>
        <v>-37.8851256</v>
      </c>
      <c r="J4" s="12" t="n">
        <f aca="false">SUM(J2:J3)</f>
        <v>-38.642828112</v>
      </c>
      <c r="K4" s="12" t="n">
        <f aca="false">SUM(K2:K3)</f>
        <v>-39.41568467424</v>
      </c>
      <c r="L4" s="12" t="n">
        <f aca="false">SUM(L2:L3)</f>
        <v>-40.2039983677248</v>
      </c>
      <c r="M4" s="12" t="n">
        <f aca="false">SUM(M2:M3)</f>
        <v>-41.0080783350793</v>
      </c>
      <c r="N4" s="12" t="n">
        <f aca="false">SUM(N2:N3)</f>
        <v>-41.8282399017809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7" min="2" style="0" width="17"/>
  </cols>
  <sheetData>
    <row r="1" customFormat="false" ht="23.85" hidden="false" customHeight="false" outlineLevel="0" collapsed="false">
      <c r="A1" s="9" t="s">
        <v>100</v>
      </c>
      <c r="B1" s="9" t="s">
        <v>101</v>
      </c>
      <c r="C1" s="9" t="s">
        <v>102</v>
      </c>
      <c r="D1" s="9" t="s">
        <v>103</v>
      </c>
      <c r="E1" s="9" t="s">
        <v>104</v>
      </c>
      <c r="F1" s="9" t="s">
        <v>105</v>
      </c>
      <c r="G1" s="9" t="s">
        <v>106</v>
      </c>
    </row>
    <row r="2" customFormat="false" ht="15" hidden="false" customHeight="false" outlineLevel="0" collapsed="false">
      <c r="A2" s="10" t="n">
        <v>1</v>
      </c>
      <c r="B2" s="11" t="n">
        <f aca="false">'Revenue Streams'!H17</f>
        <v>674.756</v>
      </c>
      <c r="C2" s="11" t="n">
        <f aca="false">'Program Costs'!E4</f>
        <v>-35</v>
      </c>
      <c r="D2" s="11" t="n">
        <f aca="false">B2+C2</f>
        <v>639.756</v>
      </c>
      <c r="E2" s="11" t="n">
        <f aca="false">Assumptions!$B$5*(1+Assumptions!$B$6)^0</f>
        <v>195.6</v>
      </c>
      <c r="F2" s="11" t="n">
        <f aca="false">D2-E2</f>
        <v>444.156</v>
      </c>
      <c r="G2" s="11" t="n">
        <f aca="false">F2</f>
        <v>444.156</v>
      </c>
    </row>
    <row r="3" customFormat="false" ht="15" hidden="false" customHeight="false" outlineLevel="0" collapsed="false">
      <c r="A3" s="10" t="n">
        <v>2</v>
      </c>
      <c r="B3" s="11" t="n">
        <f aca="false">'Revenue Streams'!I17</f>
        <v>752.27448</v>
      </c>
      <c r="C3" s="11" t="n">
        <f aca="false">'Program Costs'!F4</f>
        <v>-35.7</v>
      </c>
      <c r="D3" s="11" t="n">
        <f aca="false">B3+C3</f>
        <v>716.57448</v>
      </c>
      <c r="E3" s="11" t="n">
        <f aca="false">Assumptions!$B$5*(1+Assumptions!$B$6)^1</f>
        <v>198.534</v>
      </c>
      <c r="F3" s="11" t="n">
        <f aca="false">D3-E3</f>
        <v>518.04048</v>
      </c>
      <c r="G3" s="11" t="n">
        <f aca="false">G2+F3</f>
        <v>962.19648</v>
      </c>
    </row>
    <row r="4" customFormat="false" ht="15" hidden="false" customHeight="false" outlineLevel="0" collapsed="false">
      <c r="A4" s="10" t="n">
        <v>3</v>
      </c>
      <c r="B4" s="11" t="n">
        <f aca="false">'Revenue Streams'!J17</f>
        <v>799.9718832</v>
      </c>
      <c r="C4" s="11" t="n">
        <f aca="false">'Program Costs'!G4</f>
        <v>-36.414</v>
      </c>
      <c r="D4" s="11" t="n">
        <f aca="false">B4+C4</f>
        <v>763.5578832</v>
      </c>
      <c r="E4" s="11" t="n">
        <f aca="false">Assumptions!$B$5*(1+Assumptions!$B$6)^2</f>
        <v>201.51201</v>
      </c>
      <c r="F4" s="11" t="n">
        <f aca="false">D4-E4</f>
        <v>562.0458732</v>
      </c>
      <c r="G4" s="11" t="n">
        <f aca="false">G3+F4</f>
        <v>1524.2423532</v>
      </c>
    </row>
    <row r="5" customFormat="false" ht="15" hidden="false" customHeight="false" outlineLevel="0" collapsed="false">
      <c r="A5" s="10" t="n">
        <v>4</v>
      </c>
      <c r="B5" s="11" t="n">
        <f aca="false">'Revenue Streams'!K17</f>
        <v>832.6237968</v>
      </c>
      <c r="C5" s="11" t="n">
        <f aca="false">'Program Costs'!H4</f>
        <v>-37.14228</v>
      </c>
      <c r="D5" s="11" t="n">
        <f aca="false">B5+C5</f>
        <v>795.4815168</v>
      </c>
      <c r="E5" s="11" t="n">
        <f aca="false">Assumptions!$B$5*(1+Assumptions!$B$6)^3</f>
        <v>204.53469015</v>
      </c>
      <c r="F5" s="11" t="n">
        <f aca="false">D5-E5</f>
        <v>590.94682665</v>
      </c>
      <c r="G5" s="11" t="n">
        <f aca="false">G4+F5</f>
        <v>2115.18917985</v>
      </c>
    </row>
    <row r="6" customFormat="false" ht="15" hidden="false" customHeight="false" outlineLevel="0" collapsed="false">
      <c r="A6" s="10" t="n">
        <v>5</v>
      </c>
      <c r="B6" s="11" t="n">
        <f aca="false">'Revenue Streams'!L17</f>
        <v>849.276272736</v>
      </c>
      <c r="C6" s="11" t="n">
        <f aca="false">'Program Costs'!I4</f>
        <v>-37.8851256</v>
      </c>
      <c r="D6" s="11" t="n">
        <f aca="false">B6+C6</f>
        <v>811.391147136</v>
      </c>
      <c r="E6" s="11" t="n">
        <f aca="false">Assumptions!$B$5*(1+Assumptions!$B$6)^4</f>
        <v>207.60271050225</v>
      </c>
      <c r="F6" s="11" t="n">
        <f aca="false">D6-E6</f>
        <v>603.78843663375</v>
      </c>
      <c r="G6" s="11" t="n">
        <f aca="false">G5+F6</f>
        <v>2718.97761648375</v>
      </c>
    </row>
    <row r="7" customFormat="false" ht="15" hidden="false" customHeight="false" outlineLevel="0" collapsed="false">
      <c r="A7" s="10" t="n">
        <v>6</v>
      </c>
      <c r="B7" s="11" t="n">
        <f aca="false">'Revenue Streams'!M17</f>
        <v>866.26179819072</v>
      </c>
      <c r="C7" s="11" t="n">
        <f aca="false">'Program Costs'!J4</f>
        <v>-38.642828112</v>
      </c>
      <c r="D7" s="11" t="n">
        <f aca="false">B7+C7</f>
        <v>827.61897007872</v>
      </c>
      <c r="E7" s="11" t="n">
        <f aca="false">Assumptions!$B$5*(1+Assumptions!$B$6)^5</f>
        <v>210.716751159784</v>
      </c>
      <c r="F7" s="11" t="n">
        <f aca="false">D7-E7</f>
        <v>616.902218918936</v>
      </c>
      <c r="G7" s="11" t="n">
        <f aca="false">G6+F7</f>
        <v>3335.87983540269</v>
      </c>
    </row>
    <row r="8" customFormat="false" ht="15" hidden="false" customHeight="false" outlineLevel="0" collapsed="false">
      <c r="A8" s="10" t="n">
        <v>7</v>
      </c>
      <c r="B8" s="11" t="n">
        <f aca="false">'Revenue Streams'!N17</f>
        <v>883.587034154535</v>
      </c>
      <c r="C8" s="11" t="n">
        <f aca="false">'Program Costs'!K4</f>
        <v>-39.41568467424</v>
      </c>
      <c r="D8" s="11" t="n">
        <f aca="false">B8+C8</f>
        <v>844.171349480295</v>
      </c>
      <c r="E8" s="11" t="n">
        <f aca="false">Assumptions!$B$5*(1+Assumptions!$B$6)^6</f>
        <v>213.87750242718</v>
      </c>
      <c r="F8" s="11" t="n">
        <f aca="false">D8-E8</f>
        <v>630.293847053114</v>
      </c>
      <c r="G8" s="11" t="n">
        <f aca="false">G7+F8</f>
        <v>3966.1736824558</v>
      </c>
    </row>
    <row r="9" customFormat="false" ht="15" hidden="false" customHeight="false" outlineLevel="0" collapsed="false">
      <c r="A9" s="10" t="n">
        <v>8</v>
      </c>
      <c r="B9" s="11" t="n">
        <f aca="false">'Revenue Streams'!O17</f>
        <v>901.258774837625</v>
      </c>
      <c r="C9" s="11" t="n">
        <f aca="false">'Program Costs'!L4</f>
        <v>-40.2039983677248</v>
      </c>
      <c r="D9" s="11" t="n">
        <f aca="false">B9+C9</f>
        <v>861.0547764699</v>
      </c>
      <c r="E9" s="11" t="n">
        <f aca="false">Assumptions!$B$5*(1+Assumptions!$B$6)^7</f>
        <v>217.085664963588</v>
      </c>
      <c r="F9" s="11" t="n">
        <f aca="false">D9-E9</f>
        <v>643.969111506312</v>
      </c>
      <c r="G9" s="11" t="n">
        <f aca="false">G8+F9</f>
        <v>4610.14279396211</v>
      </c>
    </row>
    <row r="10" customFormat="false" ht="15" hidden="false" customHeight="false" outlineLevel="0" collapsed="false">
      <c r="A10" s="10" t="n">
        <v>9</v>
      </c>
      <c r="B10" s="11" t="n">
        <f aca="false">'Revenue Streams'!P17</f>
        <v>919.283950334378</v>
      </c>
      <c r="C10" s="11" t="n">
        <f aca="false">'Program Costs'!M4</f>
        <v>-41.0080783350793</v>
      </c>
      <c r="D10" s="11" t="n">
        <f aca="false">B10+C10</f>
        <v>878.275871999299</v>
      </c>
      <c r="E10" s="11" t="n">
        <f aca="false">Assumptions!$B$5*(1+Assumptions!$B$6)^8</f>
        <v>220.341949938042</v>
      </c>
      <c r="F10" s="11" t="n">
        <f aca="false">D10-E10</f>
        <v>657.933922061257</v>
      </c>
      <c r="G10" s="11" t="n">
        <f aca="false">G9+F10</f>
        <v>5268.07671602337</v>
      </c>
    </row>
    <row r="11" customFormat="false" ht="15" hidden="false" customHeight="false" outlineLevel="0" collapsed="false">
      <c r="A11" s="10" t="n">
        <v>10</v>
      </c>
      <c r="B11" s="11" t="n">
        <f aca="false">'Revenue Streams'!Q17</f>
        <v>937.669629341065</v>
      </c>
      <c r="C11" s="11" t="n">
        <f aca="false">'Program Costs'!N4</f>
        <v>-41.8282399017809</v>
      </c>
      <c r="D11" s="11" t="n">
        <f aca="false">B11+C11</f>
        <v>895.841389439284</v>
      </c>
      <c r="E11" s="11" t="n">
        <f aca="false">Assumptions!$B$5*(1+Assumptions!$B$6)^9</f>
        <v>223.647079187112</v>
      </c>
      <c r="F11" s="11" t="n">
        <f aca="false">D11-E11</f>
        <v>672.194310252172</v>
      </c>
      <c r="G11" s="11" t="n">
        <f aca="false">G10+F11</f>
        <v>5940.27102627554</v>
      </c>
    </row>
    <row r="12" customFormat="false" ht="15" hidden="false" customHeight="false" outlineLevel="0" collapsed="false">
      <c r="A12" s="6" t="s">
        <v>107</v>
      </c>
      <c r="B12" s="12" t="n">
        <f aca="false">SUM(B2:B11)</f>
        <v>8416.96361959432</v>
      </c>
      <c r="C12" s="12" t="n">
        <f aca="false">SUM(C2:C11)</f>
        <v>-383.240234990825</v>
      </c>
      <c r="D12" s="12" t="n">
        <f aca="false">SUM(D2:D11)</f>
        <v>8033.7233846035</v>
      </c>
      <c r="E12" s="12" t="n">
        <f aca="false">SUM(E2:E11)</f>
        <v>2093.45235832796</v>
      </c>
      <c r="F12" s="12" t="n">
        <f aca="false">SUM(F2:F11)</f>
        <v>5940.27102627554</v>
      </c>
      <c r="G12" s="12" t="n">
        <f aca="false">G11</f>
        <v>5940.27102627554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5" min="2" style="0" width="20"/>
  </cols>
  <sheetData>
    <row r="1" customFormat="false" ht="23.85" hidden="false" customHeight="false" outlineLevel="0" collapsed="false">
      <c r="A1" s="9" t="s">
        <v>108</v>
      </c>
      <c r="B1" s="9" t="s">
        <v>109</v>
      </c>
      <c r="C1" s="9" t="s">
        <v>110</v>
      </c>
      <c r="D1" s="9" t="s">
        <v>111</v>
      </c>
      <c r="E1" s="9" t="s">
        <v>112</v>
      </c>
    </row>
    <row r="2" customFormat="false" ht="15" hidden="false" customHeight="false" outlineLevel="0" collapsed="false">
      <c r="A2" s="10" t="s">
        <v>10</v>
      </c>
      <c r="B2" s="13" t="n">
        <f aca="false">Assumptions!$B$14</f>
        <v>0.88</v>
      </c>
      <c r="C2" s="11" t="n">
        <f aca="false">'Ten-Year Window'!$D$12*Assumptions!$B$14</f>
        <v>7069.67657845108</v>
      </c>
      <c r="D2" s="11" t="n">
        <f aca="false">'Ten-Year Window'!$F$12*Assumptions!$B$14</f>
        <v>5227.43850312248</v>
      </c>
      <c r="E2" s="11" t="n">
        <f aca="false">'Ten-Year Window'!$F$5*Assumptions!$B$14</f>
        <v>520.033207452</v>
      </c>
    </row>
    <row r="3" customFormat="false" ht="15" hidden="false" customHeight="false" outlineLevel="0" collapsed="false">
      <c r="A3" s="10" t="s">
        <v>11</v>
      </c>
      <c r="B3" s="13" t="n">
        <f aca="false">Assumptions!$B$15</f>
        <v>1</v>
      </c>
      <c r="C3" s="11" t="n">
        <f aca="false">'Ten-Year Window'!$D$12*Assumptions!$B$15</f>
        <v>8033.7233846035</v>
      </c>
      <c r="D3" s="11" t="n">
        <f aca="false">'Ten-Year Window'!$F$12*Assumptions!$B$15</f>
        <v>5940.27102627554</v>
      </c>
      <c r="E3" s="11" t="n">
        <f aca="false">'Ten-Year Window'!$F$5*Assumptions!$B$15</f>
        <v>590.94682665</v>
      </c>
    </row>
    <row r="4" customFormat="false" ht="15" hidden="false" customHeight="false" outlineLevel="0" collapsed="false">
      <c r="A4" s="10" t="s">
        <v>12</v>
      </c>
      <c r="B4" s="13" t="n">
        <f aca="false">Assumptions!$B$16</f>
        <v>1.08</v>
      </c>
      <c r="C4" s="11" t="n">
        <f aca="false">'Ten-Year Window'!$D$12*Assumptions!$B$16</f>
        <v>8676.42125537178</v>
      </c>
      <c r="D4" s="11" t="n">
        <f aca="false">'Ten-Year Window'!$F$12*Assumptions!$B$16</f>
        <v>6415.49270837759</v>
      </c>
      <c r="E4" s="11" t="n">
        <f aca="false">'Ten-Year Window'!$F$5*Assumptions!$B$16</f>
        <v>638.222572782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8" min="2" style="0" width="16"/>
  </cols>
  <sheetData>
    <row r="1" customFormat="false" ht="15" hidden="false" customHeight="false" outlineLevel="0" collapsed="false">
      <c r="A1" s="14" t="s">
        <v>113</v>
      </c>
      <c r="B1" s="14" t="s">
        <v>114</v>
      </c>
      <c r="C1" s="14" t="s">
        <v>115</v>
      </c>
      <c r="D1" s="14" t="s">
        <v>116</v>
      </c>
      <c r="E1" s="14" t="s">
        <v>117</v>
      </c>
      <c r="F1" s="14" t="s">
        <v>118</v>
      </c>
      <c r="G1" s="14" t="s">
        <v>119</v>
      </c>
      <c r="H1" s="14" t="s">
        <v>120</v>
      </c>
    </row>
    <row r="2" customFormat="false" ht="15" hidden="false" customHeight="false" outlineLevel="0" collapsed="false">
      <c r="A2" s="10" t="s">
        <v>121</v>
      </c>
      <c r="B2" s="10" t="s">
        <v>122</v>
      </c>
      <c r="C2" s="10" t="s">
        <v>123</v>
      </c>
      <c r="D2" s="10" t="s">
        <v>124</v>
      </c>
      <c r="E2" s="10" t="s">
        <v>125</v>
      </c>
      <c r="F2" s="10" t="s">
        <v>43</v>
      </c>
      <c r="G2" s="10" t="s">
        <v>126</v>
      </c>
      <c r="H2" s="10" t="s">
        <v>127</v>
      </c>
    </row>
    <row r="3" customFormat="false" ht="15" hidden="false" customHeight="false" outlineLevel="0" collapsed="false">
      <c r="A3" s="10" t="s">
        <v>128</v>
      </c>
      <c r="B3" s="10" t="s">
        <v>129</v>
      </c>
      <c r="C3" s="10" t="s">
        <v>123</v>
      </c>
      <c r="D3" s="10" t="s">
        <v>130</v>
      </c>
      <c r="E3" s="10" t="s">
        <v>125</v>
      </c>
      <c r="F3" s="10" t="s">
        <v>43</v>
      </c>
      <c r="G3" s="10" t="s">
        <v>126</v>
      </c>
      <c r="H3" s="10" t="s">
        <v>127</v>
      </c>
    </row>
    <row r="4" customFormat="false" ht="15" hidden="false" customHeight="false" outlineLevel="0" collapsed="false">
      <c r="A4" s="10" t="s">
        <v>131</v>
      </c>
      <c r="B4" s="10" t="s">
        <v>132</v>
      </c>
      <c r="C4" s="10" t="s">
        <v>123</v>
      </c>
      <c r="D4" s="10" t="s">
        <v>133</v>
      </c>
      <c r="E4" s="10" t="s">
        <v>125</v>
      </c>
      <c r="F4" s="10" t="s">
        <v>43</v>
      </c>
      <c r="G4" s="10" t="s">
        <v>126</v>
      </c>
      <c r="H4" s="10" t="s">
        <v>127</v>
      </c>
    </row>
    <row r="5" customFormat="false" ht="15" hidden="false" customHeight="false" outlineLevel="0" collapsed="false">
      <c r="A5" s="10" t="s">
        <v>134</v>
      </c>
      <c r="B5" s="10" t="s">
        <v>135</v>
      </c>
      <c r="C5" s="10" t="s">
        <v>136</v>
      </c>
      <c r="D5" s="10" t="s">
        <v>137</v>
      </c>
      <c r="E5" s="10" t="s">
        <v>125</v>
      </c>
      <c r="F5" s="10" t="s">
        <v>43</v>
      </c>
      <c r="G5" s="10" t="s">
        <v>126</v>
      </c>
      <c r="H5" s="10" t="s">
        <v>127</v>
      </c>
    </row>
    <row r="6" customFormat="false" ht="15" hidden="false" customHeight="false" outlineLevel="0" collapsed="false">
      <c r="A6" s="10" t="s">
        <v>138</v>
      </c>
      <c r="B6" s="10" t="s">
        <v>139</v>
      </c>
      <c r="C6" s="10" t="s">
        <v>123</v>
      </c>
      <c r="D6" s="10" t="s">
        <v>140</v>
      </c>
      <c r="E6" s="10" t="s">
        <v>141</v>
      </c>
      <c r="F6" s="10" t="s">
        <v>12</v>
      </c>
      <c r="G6" s="10" t="s">
        <v>126</v>
      </c>
      <c r="H6" s="10" t="s">
        <v>127</v>
      </c>
    </row>
    <row r="7" customFormat="false" ht="15" hidden="false" customHeight="false" outlineLevel="0" collapsed="false">
      <c r="A7" s="10" t="s">
        <v>142</v>
      </c>
      <c r="B7" s="10" t="s">
        <v>143</v>
      </c>
      <c r="C7" s="10" t="s">
        <v>144</v>
      </c>
      <c r="D7" s="10" t="s">
        <v>145</v>
      </c>
      <c r="E7" s="10" t="s">
        <v>146</v>
      </c>
      <c r="F7" s="10" t="s">
        <v>12</v>
      </c>
      <c r="G7" s="10" t="s">
        <v>126</v>
      </c>
      <c r="H7" s="10" t="s">
        <v>127</v>
      </c>
    </row>
    <row r="8" customFormat="false" ht="15" hidden="false" customHeight="false" outlineLevel="0" collapsed="false">
      <c r="A8" s="10" t="s">
        <v>147</v>
      </c>
      <c r="B8" s="10" t="s">
        <v>148</v>
      </c>
      <c r="C8" s="10" t="s">
        <v>144</v>
      </c>
      <c r="D8" s="10" t="s">
        <v>149</v>
      </c>
      <c r="E8" s="10" t="s">
        <v>146</v>
      </c>
      <c r="F8" s="10" t="s">
        <v>12</v>
      </c>
      <c r="G8" s="10" t="s">
        <v>126</v>
      </c>
      <c r="H8" s="10" t="s">
        <v>127</v>
      </c>
    </row>
    <row r="9" customFormat="false" ht="15" hidden="false" customHeight="false" outlineLevel="0" collapsed="false">
      <c r="A9" s="10" t="s">
        <v>150</v>
      </c>
      <c r="B9" s="10" t="s">
        <v>151</v>
      </c>
      <c r="C9" s="10" t="s">
        <v>144</v>
      </c>
      <c r="D9" s="10" t="s">
        <v>152</v>
      </c>
      <c r="E9" s="10" t="s">
        <v>146</v>
      </c>
      <c r="F9" s="10" t="s">
        <v>12</v>
      </c>
      <c r="G9" s="10" t="s">
        <v>126</v>
      </c>
      <c r="H9" s="10" t="s">
        <v>127</v>
      </c>
    </row>
    <row r="10" customFormat="false" ht="15" hidden="false" customHeight="false" outlineLevel="0" collapsed="false">
      <c r="A10" s="10" t="s">
        <v>31</v>
      </c>
      <c r="B10" s="10" t="s">
        <v>153</v>
      </c>
      <c r="C10" s="10" t="s">
        <v>123</v>
      </c>
      <c r="D10" s="10" t="s">
        <v>33</v>
      </c>
      <c r="E10" s="10" t="s">
        <v>125</v>
      </c>
      <c r="F10" s="10" t="s">
        <v>12</v>
      </c>
      <c r="G10" s="10" t="s">
        <v>126</v>
      </c>
      <c r="H10" s="10" t="s">
        <v>127</v>
      </c>
    </row>
    <row r="11" customFormat="false" ht="15" hidden="false" customHeight="false" outlineLevel="0" collapsed="false">
      <c r="A11" s="10" t="s">
        <v>154</v>
      </c>
      <c r="B11" s="10" t="s">
        <v>155</v>
      </c>
      <c r="C11" s="10" t="s">
        <v>123</v>
      </c>
      <c r="D11" s="10" t="s">
        <v>38</v>
      </c>
      <c r="E11" s="10" t="s">
        <v>125</v>
      </c>
      <c r="F11" s="10" t="s">
        <v>12</v>
      </c>
      <c r="G11" s="10" t="s">
        <v>126</v>
      </c>
      <c r="H11" s="10" t="s">
        <v>127</v>
      </c>
    </row>
    <row r="12" customFormat="false" ht="15" hidden="false" customHeight="false" outlineLevel="0" collapsed="false">
      <c r="A12" s="10" t="s">
        <v>40</v>
      </c>
      <c r="B12" s="10" t="s">
        <v>156</v>
      </c>
      <c r="C12" s="10" t="s">
        <v>123</v>
      </c>
      <c r="D12" s="10" t="s">
        <v>42</v>
      </c>
      <c r="E12" s="10" t="s">
        <v>125</v>
      </c>
      <c r="F12" s="10" t="s">
        <v>43</v>
      </c>
      <c r="G12" s="10" t="s">
        <v>126</v>
      </c>
      <c r="H12" s="10" t="s">
        <v>127</v>
      </c>
    </row>
    <row r="13" customFormat="false" ht="15" hidden="false" customHeight="false" outlineLevel="0" collapsed="false">
      <c r="A13" s="10" t="s">
        <v>45</v>
      </c>
      <c r="B13" s="10" t="s">
        <v>157</v>
      </c>
      <c r="C13" s="10" t="s">
        <v>123</v>
      </c>
      <c r="D13" s="10" t="s">
        <v>47</v>
      </c>
      <c r="E13" s="10" t="s">
        <v>125</v>
      </c>
      <c r="F13" s="10" t="s">
        <v>43</v>
      </c>
      <c r="G13" s="10" t="s">
        <v>126</v>
      </c>
      <c r="H13" s="10" t="s">
        <v>127</v>
      </c>
    </row>
    <row r="14" customFormat="false" ht="15" hidden="false" customHeight="false" outlineLevel="0" collapsed="false">
      <c r="A14" s="10" t="s">
        <v>158</v>
      </c>
      <c r="B14" s="10" t="s">
        <v>159</v>
      </c>
      <c r="C14" s="10" t="s">
        <v>123</v>
      </c>
      <c r="D14" s="10" t="s">
        <v>52</v>
      </c>
      <c r="E14" s="10" t="s">
        <v>125</v>
      </c>
      <c r="F14" s="10" t="s">
        <v>43</v>
      </c>
      <c r="G14" s="10" t="s">
        <v>126</v>
      </c>
      <c r="H14" s="10" t="s">
        <v>127</v>
      </c>
    </row>
    <row r="15" customFormat="false" ht="15" hidden="false" customHeight="false" outlineLevel="0" collapsed="false">
      <c r="A15" s="10" t="s">
        <v>54</v>
      </c>
      <c r="B15" s="10" t="s">
        <v>159</v>
      </c>
      <c r="C15" s="10" t="s">
        <v>123</v>
      </c>
      <c r="D15" s="10" t="s">
        <v>56</v>
      </c>
      <c r="E15" s="10" t="s">
        <v>125</v>
      </c>
      <c r="F15" s="10" t="s">
        <v>43</v>
      </c>
      <c r="G15" s="10" t="s">
        <v>126</v>
      </c>
      <c r="H15" s="10" t="s">
        <v>127</v>
      </c>
    </row>
    <row r="16" customFormat="false" ht="15" hidden="false" customHeight="false" outlineLevel="0" collapsed="false">
      <c r="A16" s="10" t="s">
        <v>58</v>
      </c>
      <c r="B16" s="10" t="s">
        <v>160</v>
      </c>
      <c r="C16" s="10" t="s">
        <v>123</v>
      </c>
      <c r="D16" s="10" t="s">
        <v>38</v>
      </c>
      <c r="E16" s="10" t="s">
        <v>125</v>
      </c>
      <c r="F16" s="10" t="s">
        <v>43</v>
      </c>
      <c r="G16" s="10" t="s">
        <v>126</v>
      </c>
      <c r="H16" s="10" t="s">
        <v>127</v>
      </c>
    </row>
    <row r="17" customFormat="false" ht="15" hidden="false" customHeight="false" outlineLevel="0" collapsed="false">
      <c r="A17" s="10" t="s">
        <v>61</v>
      </c>
      <c r="B17" s="10" t="s">
        <v>161</v>
      </c>
      <c r="C17" s="10" t="s">
        <v>123</v>
      </c>
      <c r="D17" s="10" t="s">
        <v>63</v>
      </c>
      <c r="E17" s="10" t="s">
        <v>125</v>
      </c>
      <c r="F17" s="10" t="s">
        <v>64</v>
      </c>
      <c r="G17" s="10" t="s">
        <v>126</v>
      </c>
      <c r="H17" s="10" t="s">
        <v>127</v>
      </c>
    </row>
    <row r="18" customFormat="false" ht="15" hidden="false" customHeight="false" outlineLevel="0" collapsed="false">
      <c r="A18" s="10" t="s">
        <v>162</v>
      </c>
      <c r="B18" s="10" t="s">
        <v>163</v>
      </c>
      <c r="C18" s="10" t="s">
        <v>123</v>
      </c>
      <c r="D18" s="10" t="s">
        <v>68</v>
      </c>
      <c r="E18" s="10" t="s">
        <v>125</v>
      </c>
      <c r="F18" s="10" t="s">
        <v>43</v>
      </c>
      <c r="G18" s="10" t="s">
        <v>126</v>
      </c>
      <c r="H18" s="10" t="s">
        <v>127</v>
      </c>
    </row>
    <row r="19" customFormat="false" ht="15" hidden="false" customHeight="false" outlineLevel="0" collapsed="false">
      <c r="A19" s="10" t="s">
        <v>164</v>
      </c>
      <c r="B19" s="10" t="s">
        <v>165</v>
      </c>
      <c r="C19" s="10" t="s">
        <v>123</v>
      </c>
      <c r="D19" s="10" t="s">
        <v>72</v>
      </c>
      <c r="E19" s="10" t="s">
        <v>125</v>
      </c>
      <c r="F19" s="10" t="s">
        <v>64</v>
      </c>
      <c r="G19" s="10" t="s">
        <v>126</v>
      </c>
      <c r="H19" s="10" t="s">
        <v>127</v>
      </c>
    </row>
    <row r="20" customFormat="false" ht="15" hidden="false" customHeight="false" outlineLevel="0" collapsed="false">
      <c r="A20" s="10" t="s">
        <v>74</v>
      </c>
      <c r="B20" s="10" t="s">
        <v>165</v>
      </c>
      <c r="C20" s="10" t="s">
        <v>123</v>
      </c>
      <c r="D20" s="10" t="s">
        <v>76</v>
      </c>
      <c r="E20" s="10" t="s">
        <v>125</v>
      </c>
      <c r="F20" s="10" t="s">
        <v>43</v>
      </c>
      <c r="G20" s="10" t="s">
        <v>126</v>
      </c>
      <c r="H20" s="10" t="s">
        <v>127</v>
      </c>
    </row>
    <row r="21" customFormat="false" ht="15" hidden="false" customHeight="false" outlineLevel="0" collapsed="false">
      <c r="A21" s="10" t="s">
        <v>78</v>
      </c>
      <c r="B21" s="10" t="s">
        <v>166</v>
      </c>
      <c r="C21" s="10" t="s">
        <v>123</v>
      </c>
      <c r="D21" s="10" t="s">
        <v>38</v>
      </c>
      <c r="E21" s="10" t="s">
        <v>125</v>
      </c>
      <c r="F21" s="10" t="s">
        <v>43</v>
      </c>
      <c r="G21" s="10" t="s">
        <v>126</v>
      </c>
      <c r="H21" s="10" t="s">
        <v>127</v>
      </c>
    </row>
    <row r="22" customFormat="false" ht="15" hidden="false" customHeight="false" outlineLevel="0" collapsed="false">
      <c r="A22" s="10" t="s">
        <v>167</v>
      </c>
      <c r="B22" s="10" t="s">
        <v>168</v>
      </c>
      <c r="C22" s="10" t="s">
        <v>123</v>
      </c>
      <c r="D22" s="10" t="s">
        <v>38</v>
      </c>
      <c r="E22" s="10" t="s">
        <v>125</v>
      </c>
      <c r="F22" s="10" t="s">
        <v>12</v>
      </c>
      <c r="G22" s="10" t="s">
        <v>126</v>
      </c>
      <c r="H22" s="10" t="s">
        <v>127</v>
      </c>
    </row>
    <row r="23" customFormat="false" ht="15" hidden="false" customHeight="false" outlineLevel="0" collapsed="false">
      <c r="A23" s="10" t="s">
        <v>84</v>
      </c>
      <c r="B23" s="10" t="s">
        <v>169</v>
      </c>
      <c r="C23" s="10" t="s">
        <v>123</v>
      </c>
      <c r="D23" s="10" t="s">
        <v>38</v>
      </c>
      <c r="E23" s="10" t="s">
        <v>125</v>
      </c>
      <c r="F23" s="10" t="s">
        <v>64</v>
      </c>
      <c r="G23" s="10" t="s">
        <v>126</v>
      </c>
      <c r="H23" s="10" t="s">
        <v>127</v>
      </c>
    </row>
    <row r="24" customFormat="false" ht="15" hidden="false" customHeight="false" outlineLevel="0" collapsed="false">
      <c r="A24" s="10" t="s">
        <v>87</v>
      </c>
      <c r="B24" s="10" t="s">
        <v>170</v>
      </c>
      <c r="C24" s="10" t="s">
        <v>123</v>
      </c>
      <c r="D24" s="10" t="s">
        <v>88</v>
      </c>
      <c r="E24" s="10" t="s">
        <v>125</v>
      </c>
      <c r="F24" s="10" t="s">
        <v>12</v>
      </c>
      <c r="G24" s="10" t="s">
        <v>126</v>
      </c>
      <c r="H24" s="10" t="s">
        <v>127</v>
      </c>
    </row>
    <row r="25" customFormat="false" ht="15" hidden="false" customHeight="false" outlineLevel="0" collapsed="false">
      <c r="A25" s="10" t="s">
        <v>171</v>
      </c>
      <c r="B25" s="10" t="s">
        <v>172</v>
      </c>
      <c r="C25" s="10" t="s">
        <v>123</v>
      </c>
      <c r="D25" s="10" t="s">
        <v>173</v>
      </c>
      <c r="E25" s="10" t="s">
        <v>125</v>
      </c>
      <c r="F25" s="10" t="s">
        <v>43</v>
      </c>
      <c r="G25" s="10" t="s">
        <v>126</v>
      </c>
      <c r="H25" s="10" t="s">
        <v>127</v>
      </c>
    </row>
    <row r="26" customFormat="false" ht="15" hidden="false" customHeight="false" outlineLevel="0" collapsed="false">
      <c r="A26" s="10" t="s">
        <v>174</v>
      </c>
      <c r="B26" s="10" t="s">
        <v>175</v>
      </c>
      <c r="C26" s="10" t="s">
        <v>123</v>
      </c>
      <c r="D26" s="10" t="s">
        <v>38</v>
      </c>
      <c r="E26" s="10" t="s">
        <v>125</v>
      </c>
      <c r="F26" s="10" t="s">
        <v>43</v>
      </c>
      <c r="G26" s="10" t="s">
        <v>126</v>
      </c>
      <c r="H26" s="10" t="s">
        <v>127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3"/>
    <col collapsed="false" customWidth="true" hidden="false" outlineLevel="0" max="3" min="3" style="0" width="80"/>
  </cols>
  <sheetData>
    <row r="1" customFormat="false" ht="15" hidden="false" customHeight="false" outlineLevel="0" collapsed="false">
      <c r="A1" s="9" t="s">
        <v>176</v>
      </c>
      <c r="B1" s="9" t="s">
        <v>177</v>
      </c>
      <c r="C1" s="9" t="s">
        <v>178</v>
      </c>
    </row>
    <row r="2" customFormat="false" ht="15" hidden="false" customHeight="false" outlineLevel="0" collapsed="false">
      <c r="A2" s="10" t="s">
        <v>126</v>
      </c>
      <c r="B2" s="10" t="s">
        <v>127</v>
      </c>
      <c r="C2" s="10" t="s">
        <v>179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2026-07-11T20:29:27Z</dcterms:created>
  <dc:creator>openpyxl</dc:creator>
  <dc:description/>
  <dc:language>en-US</dc:language>
  <cp:lastModifiedBy/>
  <dcterms:modified xsi:type="dcterms:W3CDTF">2026-07-11T20:29:27Z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